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zlova\Desktop\"/>
    </mc:Choice>
  </mc:AlternateContent>
  <bookViews>
    <workbookView xWindow="0" yWindow="0" windowWidth="28800" windowHeight="11835"/>
  </bookViews>
  <sheets>
    <sheet name="Лист1" sheetId="2" r:id="rId1"/>
  </sheets>
  <definedNames>
    <definedName name="_xlnm._FilterDatabase" localSheetId="0" hidden="1">Лист1!$A$14:$N$345</definedName>
    <definedName name="_xlnm.Print_Titles" localSheetId="0">Лист1!$12:$13</definedName>
    <definedName name="_xlnm.Print_Area" localSheetId="0">Лист1!$A$1:$N$346</definedName>
  </definedNames>
  <calcPr calcId="152511"/>
</workbook>
</file>

<file path=xl/calcChain.xml><?xml version="1.0" encoding="utf-8"?>
<calcChain xmlns="http://schemas.openxmlformats.org/spreadsheetml/2006/main">
  <c r="G342" i="2" l="1"/>
  <c r="G341" i="2"/>
  <c r="G275" i="2" l="1"/>
  <c r="G276" i="2"/>
  <c r="G277" i="2"/>
  <c r="G280" i="2"/>
  <c r="G281" i="2"/>
  <c r="F274" i="2"/>
  <c r="F275" i="2"/>
  <c r="F276" i="2"/>
  <c r="F277" i="2"/>
  <c r="F278" i="2"/>
  <c r="F279" i="2"/>
  <c r="F280" i="2"/>
  <c r="F281" i="2"/>
  <c r="F282" i="2"/>
  <c r="F283" i="2"/>
  <c r="I278" i="2" l="1"/>
  <c r="G278" i="2" s="1"/>
  <c r="I269" i="2"/>
  <c r="I270" i="2" l="1"/>
  <c r="I271" i="2"/>
  <c r="N119" i="2" l="1"/>
  <c r="N321" i="2"/>
  <c r="I282" i="2" l="1"/>
  <c r="G282" i="2" s="1"/>
  <c r="I279" i="2" l="1"/>
  <c r="G279" i="2" s="1"/>
  <c r="I222" i="2" l="1"/>
  <c r="I223" i="2"/>
  <c r="I252" i="2"/>
  <c r="I251" i="2"/>
  <c r="I266" i="2"/>
  <c r="I247" i="2"/>
  <c r="I240" i="2"/>
  <c r="I246" i="2"/>
  <c r="I244" i="2"/>
  <c r="I257" i="2"/>
  <c r="I243" i="2"/>
  <c r="I255" i="2"/>
  <c r="I253" i="2"/>
  <c r="I254" i="2"/>
  <c r="I214" i="2"/>
  <c r="I248" i="2"/>
  <c r="I231" i="2"/>
  <c r="I245" i="2"/>
  <c r="I230" i="2"/>
  <c r="I220" i="2"/>
  <c r="I224" i="2"/>
  <c r="I238" i="2"/>
  <c r="I221" i="2"/>
  <c r="I216" i="2"/>
  <c r="I219" i="2"/>
  <c r="I242" i="2"/>
  <c r="I235" i="2"/>
  <c r="I260" i="2"/>
  <c r="I250" i="2"/>
  <c r="I228" i="2"/>
  <c r="I236" i="2"/>
  <c r="I217" i="2"/>
  <c r="I218" i="2"/>
  <c r="I234" i="2"/>
  <c r="I229" i="2"/>
  <c r="G274" i="2"/>
  <c r="F273" i="2"/>
  <c r="G273" i="2"/>
  <c r="I207" i="2" l="1"/>
  <c r="F340" i="2" l="1"/>
  <c r="F341" i="2"/>
  <c r="F342" i="2"/>
  <c r="F343" i="2"/>
  <c r="F344" i="2"/>
  <c r="F345" i="2"/>
  <c r="G340" i="2"/>
  <c r="G322" i="2"/>
  <c r="H321" i="2"/>
  <c r="F321" i="2" s="1"/>
  <c r="I345" i="2"/>
  <c r="G345" i="2" s="1"/>
  <c r="I344" i="2"/>
  <c r="G344" i="2" s="1"/>
  <c r="I343" i="2"/>
  <c r="G343" i="2" s="1"/>
  <c r="M17" i="2"/>
  <c r="K17" i="2"/>
  <c r="I17" i="2"/>
  <c r="H17" i="2"/>
  <c r="G88" i="2"/>
  <c r="I119" i="2"/>
  <c r="J119" i="2"/>
  <c r="K119" i="2"/>
  <c r="L119" i="2"/>
  <c r="M119" i="2"/>
  <c r="H119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7" i="2"/>
  <c r="G338" i="2"/>
  <c r="G339" i="2"/>
  <c r="F207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G208" i="2"/>
  <c r="F208" i="2"/>
  <c r="G206" i="2"/>
  <c r="F206" i="2"/>
  <c r="G205" i="2"/>
  <c r="F205" i="2"/>
  <c r="G204" i="2"/>
  <c r="F204" i="2"/>
  <c r="G203" i="2"/>
  <c r="F203" i="2"/>
  <c r="G202" i="2"/>
  <c r="F202" i="2"/>
  <c r="G190" i="2"/>
  <c r="G197" i="2"/>
  <c r="F190" i="2"/>
  <c r="F197" i="2"/>
  <c r="G185" i="2"/>
  <c r="F185" i="2"/>
  <c r="G168" i="2"/>
  <c r="F168" i="2"/>
  <c r="G167" i="2"/>
  <c r="F167" i="2"/>
  <c r="G145" i="2"/>
  <c r="F145" i="2"/>
  <c r="G144" i="2"/>
  <c r="F144" i="2"/>
  <c r="G143" i="2"/>
  <c r="F143" i="2"/>
  <c r="G142" i="2"/>
  <c r="F142" i="2"/>
  <c r="G120" i="2"/>
  <c r="F120" i="2"/>
  <c r="G118" i="2"/>
  <c r="F118" i="2"/>
  <c r="G117" i="2"/>
  <c r="F117" i="2"/>
  <c r="G112" i="2"/>
  <c r="F112" i="2"/>
  <c r="G96" i="2"/>
  <c r="F96" i="2"/>
  <c r="G90" i="2"/>
  <c r="F90" i="2"/>
  <c r="G89" i="2"/>
  <c r="F89" i="2"/>
  <c r="F88" i="2"/>
  <c r="G72" i="2"/>
  <c r="F72" i="2"/>
  <c r="G69" i="2"/>
  <c r="F69" i="2"/>
  <c r="G64" i="2"/>
  <c r="F64" i="2"/>
  <c r="G63" i="2"/>
  <c r="F63" i="2"/>
  <c r="G62" i="2"/>
  <c r="F62" i="2"/>
  <c r="G59" i="2"/>
  <c r="F59" i="2"/>
  <c r="G48" i="2"/>
  <c r="F48" i="2"/>
  <c r="G43" i="2"/>
  <c r="F43" i="2"/>
  <c r="G39" i="2"/>
  <c r="F39" i="2"/>
  <c r="G34" i="2"/>
  <c r="F34" i="2"/>
  <c r="G23" i="2"/>
  <c r="F23" i="2"/>
  <c r="G20" i="2"/>
  <c r="G21" i="2"/>
  <c r="G22" i="2"/>
  <c r="F20" i="2"/>
  <c r="F21" i="2"/>
  <c r="F22" i="2"/>
  <c r="G19" i="2"/>
  <c r="F19" i="2"/>
  <c r="F18" i="2"/>
  <c r="G18" i="2"/>
  <c r="I336" i="2"/>
  <c r="G336" i="2" s="1"/>
  <c r="K16" i="2" l="1"/>
  <c r="M16" i="2"/>
  <c r="F119" i="2"/>
  <c r="H16" i="2"/>
  <c r="I321" i="2"/>
  <c r="G321" i="2" s="1"/>
  <c r="G207" i="2"/>
  <c r="G17" i="2"/>
  <c r="G119" i="2"/>
  <c r="I16" i="2" l="1"/>
  <c r="D185" i="2" l="1"/>
  <c r="D190" i="2"/>
  <c r="D197" i="2"/>
  <c r="J17" i="2" l="1"/>
  <c r="N17" i="2"/>
  <c r="N16" i="2" s="1"/>
  <c r="G16" i="2" s="1"/>
  <c r="J16" i="2" l="1"/>
  <c r="L17" i="2" l="1"/>
  <c r="F17" i="2" s="1"/>
  <c r="L16" i="2" l="1"/>
  <c r="F16" i="2" s="1"/>
</calcChain>
</file>

<file path=xl/sharedStrings.xml><?xml version="1.0" encoding="utf-8"?>
<sst xmlns="http://schemas.openxmlformats.org/spreadsheetml/2006/main" count="1002" uniqueCount="677">
  <si>
    <t>№п/п</t>
  </si>
  <si>
    <t>Наименование мероприятий инвестиционной программы</t>
  </si>
  <si>
    <t>Единица измерений</t>
  </si>
  <si>
    <t>Источник финансирования, тыс.тенге</t>
  </si>
  <si>
    <t>Нерегулируемая (иная) деятельность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</si>
  <si>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</si>
  <si>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</si>
  <si>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</si>
  <si>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</si>
  <si>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Реконструкция электрических сетей 10-6/0,4 кВ по Алматинской области с  заменой проводов на СИП</t>
  </si>
  <si>
    <t>Капитальный ремонт распределительных сетей и оборудования</t>
  </si>
  <si>
    <t>ВСЕГО на 2021 год</t>
  </si>
  <si>
    <t>Перевод части нагрузок с существующей ПС №4 на вновь построенную ПС110/10-10КВ "Алатау"</t>
  </si>
  <si>
    <t>Строительство ПС 110/10 кВ «Кокозек» с присоединением к ОРУ-110 кВ ПС 220 кВ «Каскелен» Карасайского района Алматинской области</t>
  </si>
  <si>
    <t>по Алматинской области</t>
  </si>
  <si>
    <t>шт</t>
  </si>
  <si>
    <t>ПСД</t>
  </si>
  <si>
    <t>Оперативно-информационныйкомплекс: ATI SCADA</t>
  </si>
  <si>
    <t>ПНР</t>
  </si>
  <si>
    <t>работа</t>
  </si>
  <si>
    <t>Комплект</t>
  </si>
  <si>
    <t>Штука</t>
  </si>
  <si>
    <t xml:space="preserve">	Штука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</si>
  <si>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</si>
  <si>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Экспертиза</t>
  </si>
  <si>
    <t>Корректировка ПСД "Перевод части нагрузок с существующих ПС-5А, ПС-17А, ПС-132А на вновь построенную ПС-110/10кВ "Отрар"</t>
  </si>
  <si>
    <t>Проведение комплексной вневедомственной экспертизы по рабочему проекту  "Перевод части нагрузок с существующих ПС-5А, ПС-17А, ПС-132А на вновь построенную ПС-110/10кВ "Отрар"</t>
  </si>
  <si>
    <t>Перевод нагрузки с ПС№19А на вновь построенную ПС "Мамыр"</t>
  </si>
  <si>
    <t xml:space="preserve">Разработка ПСД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</si>
  <si>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 xml:space="preserve">Проведение комплексной вневедомственной экспертизы по рабочему проекту Автоматизированные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</si>
  <si>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>Реконструкция ВЛ-110 кВ №102А, 105А, 109А, 120АИ с заменой на композитный провод и заход-выходом ВЛ-110 кВ №120АИ на ПС-220 кВ "Бесагаш"</t>
  </si>
  <si>
    <t>Пуско-наладочные работы по реконструкции ВЛ-110 кВ №102А, 105А, 109А, 120АИ с заменой на композитный провод и заход-выходом ВЛ-110 кВ №120АИ на ПС-220 кВ "Бесагаш"</t>
  </si>
  <si>
    <t>Разработка ПСД Реконструкция  ПС 110/10кВ №119А "Новозападная"</t>
  </si>
  <si>
    <t>Проведение комплексной вневедомственной экспертизы по рабочему проекту  Реконструкция  ПС 110/10кВ №119А "Новозападная"</t>
  </si>
  <si>
    <t>Корректировка ПСД «Модернизация систем безопасности зданий и прилегающих к ним территорий (Манаса 24Б, Розыбакиева 6)</t>
  </si>
  <si>
    <t>Проведение комплексной вневедомственной экспертизы по рабочему проекту  «Модернизация систем безопасности зданий и прилегающих к ним территорий (Манаса 24Б, Розыбакиева 6)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</si>
  <si>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</si>
  <si>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Проведение комплексной вневедомственной экспертизы по рабочему проекту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</si>
  <si>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Приобретение основных средств и нематериальных активов</t>
  </si>
  <si>
    <t>Разработка ПСД "Развитие Шелекского энергоузла"</t>
  </si>
  <si>
    <t>Выключатель вакуумный AVL-1200 1000А</t>
  </si>
  <si>
    <t>Выключатель нагрузки ВНР-10/630-10зУ3</t>
  </si>
  <si>
    <t>Выключатель нагрузки ВНРп-10/400-10зп с предохранителями и ножами заземления расположенными за предохранителями снизу выключателя</t>
  </si>
  <si>
    <t>Выключатель нагрузки с заземляющими ножами (нижн. располож.), ВНР-10/400</t>
  </si>
  <si>
    <t>Выключатель нагрузки автогазовый ВНА-10/630-20У2</t>
  </si>
  <si>
    <t>Заградитель высокочастотный, ВЗ-400-0,5-40 УХЛ1</t>
  </si>
  <si>
    <t>Заградитель высокочастотный, ВЗ-630-0,5-40 УХЛ1</t>
  </si>
  <si>
    <t>Модуль управления TER-CM-16-2(220-1) для вакуумного выключателя BB/TEL-10</t>
  </si>
  <si>
    <t>Ограничитель перенапряжения ОПН-6 УХЛ-1 с полимерной внешней изоляцией</t>
  </si>
  <si>
    <t>Ограничитель перенапряжения ОПНп-10 УХЛ1</t>
  </si>
  <si>
    <t>Трансформатор напряжения 3хЗНОЛП-10кВ с литой изоляцией, с двумя вторичными обмотками</t>
  </si>
  <si>
    <t>Трансформатор напряжения НТМИ-10</t>
  </si>
  <si>
    <t>Траснформатор напряжения НТМИ-6</t>
  </si>
  <si>
    <t>Конденсатор связи СМАПВ-110/ √3-6,4 УХЛ 1 Ех</t>
  </si>
  <si>
    <t>Конденсатор связи СМАПВ-66/√3-4,4 УХЛ1 Ех</t>
  </si>
  <si>
    <t>Модем УПСТМ 0,2 (в корпусе)</t>
  </si>
  <si>
    <t>Модуль ввода/вывода МДВВ ОВЕН</t>
  </si>
  <si>
    <t>Коммуникационный контроллер Синком Д3</t>
  </si>
  <si>
    <t>Процессор многоядерный, Socket LGA 1150</t>
  </si>
  <si>
    <t>Процессор многоядерный, Socket LGA 1155</t>
  </si>
  <si>
    <t>Термосигнализатор ТКП-160СГ-М-2  L-6 м</t>
  </si>
  <si>
    <t>Микропроцессорное реле максимального тока серии РС80 АВРМ 21ДС</t>
  </si>
  <si>
    <t>Реле защиты РС83-А2.0</t>
  </si>
  <si>
    <t>Трансформатор тока Т-0,66 У3 300/5</t>
  </si>
  <si>
    <t>Трансформатор тока Т-0,66 У3 400/5</t>
  </si>
  <si>
    <t>Трансформатор тока ТОЛ-10/0.5S/10P-100/5</t>
  </si>
  <si>
    <t>Трансформатор тока ТОЛ-10/0.5S/10P-150/5</t>
  </si>
  <si>
    <t>Трансформатор тока ТОЛ-10/0.5S/10P-200/5</t>
  </si>
  <si>
    <t>Модем OnCell G3150A-LTE-EU-T</t>
  </si>
  <si>
    <t>Преобразователь измерительный Satec 133+DIOR 12 ЭНИП-2-45/100-220-А3Е4-21 преобразователь измерительный многофункциональный</t>
  </si>
  <si>
    <t>Устройство защиты РЗТ-413</t>
  </si>
  <si>
    <t>Блок ремонтный Плата на 16 внутренних аналоговых абонентов для ЦАТС S1000 OESTS-16</t>
  </si>
  <si>
    <t>Блок ремонтный Плата на 16 внутренних цифровых абонентов для ЦАТС S1000 UESTD-16</t>
  </si>
  <si>
    <t>Блок ремонтный Плата соединительных линий на 8 портов для ЦАТС S1000 CESTL-8</t>
  </si>
  <si>
    <t>Инвестиционная программа на 2021 год</t>
  </si>
  <si>
    <t>Корректировка ПСД «Строительство ПС-110/10/6 кВ «Турксиб взамен существующей электрической подстанции № 14»</t>
  </si>
  <si>
    <t>Проведение комплексной вневедомственной экспертизы по рабочему проекту «Строительство ПС-110/10/6 кВ «Турксиб взамен существующей электрической подстанции № 14»</t>
  </si>
  <si>
    <t>Разработка ПСД "Реконструкция ЛЭП-110кВ №103А/104А с заменой существующего провода на композитный"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</si>
  <si>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</si>
  <si>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</si>
  <si>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Разработка ПСД "Перевод ПС-35/10кВ №133А "Орбита" в РП-10кВ совмещенный с ТП-10/0,4кВ</t>
  </si>
  <si>
    <t>Модернизация систем отображения коллективного пользования на ЦДП АО "АЖК"</t>
  </si>
  <si>
    <t>Модернизация существующего программно-аппаратного комплекса АСКУЭ АО "АЖК", с учетом миграции в систему всех существующих точек учета"</t>
  </si>
  <si>
    <t>ПНР Строительство ПС 110/10 кВ «Кокозек» с присоединением к ОРУ-110 кВ ПС 220 кВ «Каскелен» Карасайского района Алматинской области</t>
  </si>
  <si>
    <t>Изготовление землеустроительного проекта земельных участков под опорами ЛЭП-110кВ  ПС 220/110/10 кВ "Каскелен-ПС 110/35/10 кВ №94А "Северный Каскелен" с отпайкой к ПС 110/10 кВ №27А "Каскелен" Карасайского района Алматинской области"</t>
  </si>
  <si>
    <t>землеустроительный проект</t>
  </si>
  <si>
    <t>Реконструкция электрических сетей 10/0,4кВ РЭС "Отеген батыр"</t>
  </si>
  <si>
    <t>Реконструкция электрических сетей 6-10/0,4кВ Карасайского РЭС</t>
  </si>
  <si>
    <t>Реконструкция электрических сетей 6-10/0,4кВ Талгарского РЭС</t>
  </si>
  <si>
    <t>Разработка ПСД-Замена существующей КЛ-10кВ ф.1-35А от ПС-35А до опоры №1 ВЛ-10кВ с выносом с территории застройки, раположенный по адресу: Илийский р/н, п.Боралдай</t>
  </si>
  <si>
    <t>Выключатель вакуумный ВВ-АЕ-12 в комплекте с выкатным элементом</t>
  </si>
  <si>
    <t>Выключатель вакуумный ВВ-АЕ-12</t>
  </si>
  <si>
    <t>Выключатель вакуумный 35/1000 SMART-35 применение на подстанции (Rec 35-Smart 1-Sub7)</t>
  </si>
  <si>
    <t>Ограничитель перенапряжения 110кВ ОПНп-110/77/10/2-УХЛ1</t>
  </si>
  <si>
    <t>Ограничитель перенапряжения ОПН-У-35/40,5-2 УХЛ1</t>
  </si>
  <si>
    <t>Элегазовый выключатель на напряжение 110 кВ Выключатель оснащается пружинным приводом ППрК.</t>
  </si>
  <si>
    <t>Аккумулятор Комплектующие для  ИБП АРС Smart-3000BA LCD 230V,  SMT 3000I</t>
  </si>
  <si>
    <t>Источник бесперебойного питания Smart-UPS 3000VA LCD 230V, SMT3000I</t>
  </si>
  <si>
    <t>Прибор для измерения показателей качества и учета электрической энергии PM-130 PLUS</t>
  </si>
  <si>
    <t>Коммуникационный контроллер Синком-ДК</t>
  </si>
  <si>
    <t>Амперметр цифровой, амперметр предназначен для измерения силы тока в электрических сетях</t>
  </si>
  <si>
    <t>Вольтметр цифровой, вольтметр предназначен для измерения силы тока в электрических сетях</t>
  </si>
  <si>
    <t>Трансформатор тока ТОЛ-10/0.5S/10P-300/5</t>
  </si>
  <si>
    <t>Трансформатор тока ТОЛ-10/0.5S/10P-50/5</t>
  </si>
  <si>
    <t>Выключатель нагрузки автогазовый ВНАп-10/400-20зпУ2, с предохранителями и ножами заземления</t>
  </si>
  <si>
    <t>Устройство защиты Контроль цепей напряжения, выполнение функций защиты по напряжению, АЧРи ЧАПВ.</t>
  </si>
  <si>
    <t>Камера сборная одностороннего обслуживания КСО-366 У3 3Н-630</t>
  </si>
  <si>
    <t>Камера сборная одностороннего обслуживания КСО-366 У3 4Н-630</t>
  </si>
  <si>
    <t>Генератор для электрогенераторной установки НХ 6000С</t>
  </si>
  <si>
    <t>Выключатель вакуумный 35кВ, тип 3AFO1</t>
  </si>
  <si>
    <t>Преобразователь измерительный SATEC EM133-5-50HZ-H-ACDC-870-12DIOR-DRC</t>
  </si>
  <si>
    <t>Устройство защиты Микропроцессорное реле напряжения, предназначено для работы в схемах автоматики контроля частоты.</t>
  </si>
  <si>
    <t>Устройство защиты устройство ввода/вывода со световой индикацией активированных входов_x000D_ устройство ввода/вывода со световой индикацией активированных входов_x000D_ УИР-13.</t>
  </si>
  <si>
    <t>Трансформатор силовой, повышающий трансформатор ТМГ-2500/6/10 кВА</t>
  </si>
  <si>
    <t>Трансформатор силовой, нонижающий трансформатор ТМГ-2500/10/6 кВА</t>
  </si>
  <si>
    <t xml:space="preserve">Трансформатор тока ТОЛ-10/0,5S/10P-200/5 </t>
  </si>
  <si>
    <t>Ремонт ВЛ-6кВ ПС-65-ТП-4336 ф.9-65 Алатауский р-н РЭС-4 (0,600 км)</t>
  </si>
  <si>
    <t>Ремонт ВЛ-0,4 кВ ТП-2328 до опоры №1 ул.Казыбек би-Шарипова РЭС- 2 (0,121 км)</t>
  </si>
  <si>
    <t>Ремонт ВЛ-0,4 кВ ТП-6304 ул.Кокинаки РЭС-6 (0,540 км)</t>
  </si>
  <si>
    <t>Ремонт ВЛ-0,4кВ от ТП-111 с. Батан (3,4 км) КРЭС</t>
  </si>
  <si>
    <t>Ремонт ВЛ-0,4кВ от ТП-170 с. Жетысу (Береке) (1,8 км) КРЭС</t>
  </si>
  <si>
    <t>Ремонт ВЛ-0,4кВ от ТП-253 с. Жетысу (Береке) (2,5 км) КРЭС</t>
  </si>
  <si>
    <t>Ремонт ВЛ-0,4кВ от ТП-614 г. Каскелен (1,7 км) КРЭС</t>
  </si>
  <si>
    <t>Ремонт ВЛ-0,4кВ от ТП-62 г. Каскелен (2,0 км) КРЭС</t>
  </si>
  <si>
    <t>Ремонт ВЛ-0,4кВ от ТП-1095 с. Бекболат (1,5 км) КРЭС</t>
  </si>
  <si>
    <t>Ремонт ВЛ-0,4кВ от ТП-601 г. Каскелен (3,0 км) КРЭС</t>
  </si>
  <si>
    <t>Ремонт ВЛ-0,4кВ от ТП-485 с. Ынтымак (1,96 км) ОБРЭС</t>
  </si>
  <si>
    <t>Ремонт ВЛ-0,4кВ от ТП-1228 с. Боралдай (1,0 км) ОБРЭС</t>
  </si>
  <si>
    <t>Ремонт ВЛ-0,4кВ от ТП-58 с. Междуреченск (1,75 км) ОБРЭС</t>
  </si>
  <si>
    <t>Ремонт ВЛ-0,4кВ от ТП-296 с. Туймебаев (1,4 км) ОБРЭС</t>
  </si>
  <si>
    <t>Ремонт ВЛ-0,4кВ от ТП-428 с. Талдыбулак (1,575 км) ТРЭС</t>
  </si>
  <si>
    <t>Ремонт ВЛ-0,4кВ от ТП-69 с. Узынагаш (3,0 км) ЖРЭС</t>
  </si>
  <si>
    <t>Ремонт ВЛ-0,4кВ от ТП-79 с. Узынагаш (4,0 км) ЖРЭС</t>
  </si>
  <si>
    <t>Ремонт КЛ-0,4кВ ТП-2277 -кя2, кя2-кя1 ул.Кабанбай батыра-Абылай хана РЭС-2 (0,192 км)</t>
  </si>
  <si>
    <t>Ремонт КЛ-0,4кВ ТП-2277 -кя3, кя3-кя1 ул.Кабанбай батыра-Абылай хана РЭС-2 (0,229 км)</t>
  </si>
  <si>
    <t>Ремонт КЛ-0,4 кВ ТП-5245 к/я 5 пр-т Желтоксан пр-т Абая РЭС-5 (0,084 км)</t>
  </si>
  <si>
    <t>Ремонт КЛ-0,4 кВ ТП-5383 к/я 211 З.ул.Джандарбекова С.ул.Тимирязева РЭС-5 (0,243 км)</t>
  </si>
  <si>
    <t>Ремонт КЛ-0,4 кВ ТП-5374 к/я 5 - к/я 6 ул.Джандосова ул.15 линия РЭС-5  (0,150 км)</t>
  </si>
  <si>
    <t>Ремонт КЛ-0,4 кВ ТП-5060 к/я 232-234 Гагарина - Байкадамова РЭС-5  (0,100 км)</t>
  </si>
  <si>
    <t>Ремонт оборудование ТП-4483 мкр,Алтай-2 ж/д 11, РЭС-4</t>
  </si>
  <si>
    <t>Замена выхода с ТП-6412 до 1 опоры ВЛ-0,4 кВ с воздушного на кабельный пр.Керей Жанибек хандары РЭС-6</t>
  </si>
  <si>
    <t>Ремонт ВЛ-0,4 кВ от ТП №90 ШРЭС</t>
  </si>
  <si>
    <t>Ремонт ВЛ-0,4 кВ от ТП №447 ШРЭС</t>
  </si>
  <si>
    <t>Ремонт ВЛ-0,4 кВ от ТП №116 ШРЭС</t>
  </si>
  <si>
    <t>СМР</t>
  </si>
  <si>
    <t>Корректировка ПСД «Замена ТП-5350 с реконструкцией существующих отходящих ЛЭП-6-0,4 кВ»</t>
  </si>
  <si>
    <t>Ремонт КЛ-0,4кВ ТП-1219-к.я-42- к.я-43Б мкр.Кокмайса РЭС-1 (0,069 км)</t>
  </si>
  <si>
    <t>Ремонт КЛ-0,4кВ ТП-1219-к.я-36- к.я-36А мкр.Кокмайса РЭС-1 (0,055 км)</t>
  </si>
  <si>
    <t>Ремонт КЛ-0,4 кВ ТП-1219-к.я-43- к.я-44 мкр.Кокмайса РЭС-1 (0,066 км)</t>
  </si>
  <si>
    <t>Ремонт КЛ-0,4 кВ ТП-1219-к.я-31- к.я-32 мкр.Кокмайса РЭС-1 (0,051 км)</t>
  </si>
  <si>
    <t>Ремонт КЛ-0,4 кВ ТП-1219-к.я-31 мкр.Кокмайса РЭС-1 (0,117 км)</t>
  </si>
  <si>
    <t>Ремонт КЛ-0,4 кВ ТП-1220-к.я-2 мкр.Кокмайса РЭС-1 (0,045 км)</t>
  </si>
  <si>
    <t>Ремонт оборудование ТП-3100 мкр.Таусамалы РЭС-3</t>
  </si>
  <si>
    <t>Ремонт оборудование ТП-3122 мкр.Таусамалы РЭС-3</t>
  </si>
  <si>
    <t>Ремонт оборудование ТП-7440 мкр.Жетысу-4 РЭС-7</t>
  </si>
  <si>
    <t>Ремонт оборудование ТП-7532 мкр.Таугуль-1 РЭС-7</t>
  </si>
  <si>
    <t>Автомобиль специализированный, автолаборатория, электротехническая на шасси Газ Соболь</t>
  </si>
  <si>
    <t>Автомобиль специализированный, автолаборатория, электротехническая на шасси VW Transporter</t>
  </si>
  <si>
    <t>Система диэлектрических испытаний, для проверки диэлектрической прочности изоляции</t>
  </si>
  <si>
    <t>Устройство комплектное распределительное, с элегазовой изоляцией 1 комплект</t>
  </si>
  <si>
    <t>Ноутбук среднего класса 1шт.</t>
  </si>
  <si>
    <t>Регистратор электрических событий 260 шт.</t>
  </si>
  <si>
    <t>Элемент питания, напряжение 3-12В – EB464358VU –  200шт</t>
  </si>
  <si>
    <t>Элемент питания, напряжение 3-12В – EB425161LU –  50шт</t>
  </si>
  <si>
    <t>Элемент питания, напряжение 3-12В,  200шт</t>
  </si>
  <si>
    <t>Мегаомметр, диапозон измерений 0-10000МОм 7 шт.</t>
  </si>
  <si>
    <t>Программное обеспечение, сервисный пакет обновлений</t>
  </si>
  <si>
    <t>Комплекс программно-аппаратный, для сбора служебной информации</t>
  </si>
  <si>
    <t>Устройство защиты утечки информации, для электрических сетей</t>
  </si>
  <si>
    <t>Cerio Control (для удаленной работы) 2 комплекта</t>
  </si>
  <si>
    <t>Eset NOD32 (антивирус) 1 комплект</t>
  </si>
  <si>
    <t>Элемент питания 34шт.</t>
  </si>
  <si>
    <t>Вакуумный выключатель наружной установки со шкафом управления с функцией АПВ 8 комплекта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</si>
  <si>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</si>
  <si>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</si>
  <si>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</si>
  <si>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</si>
  <si>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</si>
  <si>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</si>
  <si>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</si>
  <si>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</si>
  <si>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</si>
  <si>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</si>
  <si>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</si>
  <si>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</si>
  <si>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</si>
  <si>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</si>
  <si>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</si>
  <si>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</si>
  <si>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</si>
  <si>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</si>
  <si>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</si>
  <si>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</si>
  <si>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</si>
  <si>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</si>
  <si>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</si>
  <si>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</si>
  <si>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33.25</t>
  </si>
  <si>
    <t>33.26</t>
  </si>
  <si>
    <t>33.27</t>
  </si>
  <si>
    <t>33.28</t>
  </si>
  <si>
    <t>33.29</t>
  </si>
  <si>
    <t>33.30</t>
  </si>
  <si>
    <t>33.31</t>
  </si>
  <si>
    <t>33.32</t>
  </si>
  <si>
    <t>33.33</t>
  </si>
  <si>
    <t>33.34</t>
  </si>
  <si>
    <t>33.35</t>
  </si>
  <si>
    <t>33.36</t>
  </si>
  <si>
    <t>33.37</t>
  </si>
  <si>
    <t>33.38</t>
  </si>
  <si>
    <t>33.39</t>
  </si>
  <si>
    <t>33.40</t>
  </si>
  <si>
    <t>33.41</t>
  </si>
  <si>
    <t>33.42</t>
  </si>
  <si>
    <t>33.43</t>
  </si>
  <si>
    <t>33.44</t>
  </si>
  <si>
    <t>33.45</t>
  </si>
  <si>
    <t>33.46</t>
  </si>
  <si>
    <t>33.47</t>
  </si>
  <si>
    <t>33.48</t>
  </si>
  <si>
    <t>33.49</t>
  </si>
  <si>
    <t>33.50</t>
  </si>
  <si>
    <t>33.51</t>
  </si>
  <si>
    <t>33.52</t>
  </si>
  <si>
    <t>33.53</t>
  </si>
  <si>
    <t>33.54</t>
  </si>
  <si>
    <t>33.55</t>
  </si>
  <si>
    <t>33.56</t>
  </si>
  <si>
    <t>33.57</t>
  </si>
  <si>
    <t>33.58</t>
  </si>
  <si>
    <t>33.59</t>
  </si>
  <si>
    <t>33.60</t>
  </si>
  <si>
    <t>33.61</t>
  </si>
  <si>
    <t>33.62</t>
  </si>
  <si>
    <t>33.63</t>
  </si>
  <si>
    <t>33.64</t>
  </si>
  <si>
    <t>33.65</t>
  </si>
  <si>
    <t>33.66</t>
  </si>
  <si>
    <t>33.67</t>
  </si>
  <si>
    <t>33.68</t>
  </si>
  <si>
    <t>33.69</t>
  </si>
  <si>
    <t>33.70</t>
  </si>
  <si>
    <t>33.71</t>
  </si>
  <si>
    <t>33.72</t>
  </si>
  <si>
    <t>33.73</t>
  </si>
  <si>
    <t>33.74</t>
  </si>
  <si>
    <t>33.75</t>
  </si>
  <si>
    <t>33.76</t>
  </si>
  <si>
    <t>33.77</t>
  </si>
  <si>
    <t>33.78</t>
  </si>
  <si>
    <t>33.79</t>
  </si>
  <si>
    <t>33.80</t>
  </si>
  <si>
    <t>33.81</t>
  </si>
  <si>
    <t>33.82</t>
  </si>
  <si>
    <t>33.83</t>
  </si>
  <si>
    <t>33.84</t>
  </si>
  <si>
    <t>33.85</t>
  </si>
  <si>
    <t>33.86</t>
  </si>
  <si>
    <t>33.87</t>
  </si>
  <si>
    <t>33.88</t>
  </si>
  <si>
    <t>33.89</t>
  </si>
  <si>
    <t>33.90</t>
  </si>
  <si>
    <t>33.91</t>
  </si>
  <si>
    <t>33.92</t>
  </si>
  <si>
    <t>33.93</t>
  </si>
  <si>
    <t>33.94</t>
  </si>
  <si>
    <t>33.95</t>
  </si>
  <si>
    <t>33.96</t>
  </si>
  <si>
    <t>33.97</t>
  </si>
  <si>
    <t>33.98</t>
  </si>
  <si>
    <t>33.99</t>
  </si>
  <si>
    <t>33.100</t>
  </si>
  <si>
    <t>33.101</t>
  </si>
  <si>
    <t>33.102</t>
  </si>
  <si>
    <t>33.103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</si>
  <si>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</si>
  <si>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</si>
  <si>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</si>
  <si>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</si>
  <si>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</si>
  <si>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</si>
  <si>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</si>
  <si>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</si>
  <si>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</si>
  <si>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</si>
  <si>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</si>
  <si>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</si>
  <si>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</si>
  <si>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</si>
  <si>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</si>
  <si>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</si>
  <si>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</si>
  <si>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</si>
  <si>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Модернизация информационной системы</t>
  </si>
  <si>
    <t>комплект</t>
  </si>
  <si>
    <t>4.1.</t>
  </si>
  <si>
    <t>4.2.</t>
  </si>
  <si>
    <t>4.3.</t>
  </si>
  <si>
    <t>5.1.</t>
  </si>
  <si>
    <t>5.2.</t>
  </si>
  <si>
    <t>5.3.</t>
  </si>
  <si>
    <t>м3</t>
  </si>
  <si>
    <t>тонн</t>
  </si>
  <si>
    <t>4.4.</t>
  </si>
  <si>
    <t>разборка покрытий и оснований афальтобетонных</t>
  </si>
  <si>
    <t xml:space="preserve">погрузка и перевозка мусора </t>
  </si>
  <si>
    <t>снятие растительного слоя грунта</t>
  </si>
  <si>
    <t>м2</t>
  </si>
  <si>
    <t>м</t>
  </si>
  <si>
    <t>км</t>
  </si>
  <si>
    <t>шт.</t>
  </si>
  <si>
    <t>погрузка и перевозка грунта</t>
  </si>
  <si>
    <t>планировка площадей бульдозером</t>
  </si>
  <si>
    <t>приобретение и устройство трубопроводов поливинилхлоридных</t>
  </si>
  <si>
    <t>монтаж кабелей 10 кВ</t>
  </si>
  <si>
    <t xml:space="preserve"> км</t>
  </si>
  <si>
    <t>монтаж муфт</t>
  </si>
  <si>
    <t>приобретение и укладка труб</t>
  </si>
  <si>
    <t>переход траншейным (открытым) методом со вскрытием асфальтобетонного покрытия</t>
  </si>
  <si>
    <t>м3 
тонн
м2
м 
км
шт.</t>
  </si>
  <si>
    <t>1308
3 013,1
12 491,7
4374
16,611
308</t>
  </si>
  <si>
    <t>компл</t>
  </si>
  <si>
    <t>км
компл.</t>
  </si>
  <si>
    <t>4.5.</t>
  </si>
  <si>
    <t>4.6.</t>
  </si>
  <si>
    <t>4.7.</t>
  </si>
  <si>
    <t>4.8.</t>
  </si>
  <si>
    <t>4.9.</t>
  </si>
  <si>
    <t>4.10.</t>
  </si>
  <si>
    <t>5.4.</t>
  </si>
  <si>
    <t>6.1.</t>
  </si>
  <si>
    <t>6.2.</t>
  </si>
  <si>
    <t>Приобретение кабеля силового 10кВ марки АПвПу</t>
  </si>
  <si>
    <t>Приобретение кабеля силового 10кВ марки АСБ</t>
  </si>
  <si>
    <t>Приобретение муфт</t>
  </si>
  <si>
    <t>Приобретение Шкафа ТМ УТМ-64М</t>
  </si>
  <si>
    <t>км
шт.
компл.</t>
  </si>
  <si>
    <t>23,196
104
17</t>
  </si>
  <si>
    <t>Приобретение  муфт</t>
  </si>
  <si>
    <t xml:space="preserve">Приобретение кабеля силового 10 кВ AL/XLPE/PE </t>
  </si>
  <si>
    <t>7.1.</t>
  </si>
  <si>
    <t>7.2.</t>
  </si>
  <si>
    <t>49,068
307</t>
  </si>
  <si>
    <t>26,685
164</t>
  </si>
  <si>
    <t>Приобретение Выключателя нагрузки ВНА-10/630</t>
  </si>
  <si>
    <t>8.1.</t>
  </si>
  <si>
    <t>8.2.</t>
  </si>
  <si>
    <t>8.3.</t>
  </si>
  <si>
    <t>8.4.</t>
  </si>
  <si>
    <t>8.5.</t>
  </si>
  <si>
    <t>8.6.</t>
  </si>
  <si>
    <t>компл.</t>
  </si>
  <si>
    <t>12
2</t>
  </si>
  <si>
    <t>Реконструкция РП</t>
  </si>
  <si>
    <t>Прокладка кабеля 10 кВ NA2XS (F) 2Y-KZ</t>
  </si>
  <si>
    <t>3
3,511</t>
  </si>
  <si>
    <t>компл.
км</t>
  </si>
  <si>
    <t>9.1.</t>
  </si>
  <si>
    <t>9.2.</t>
  </si>
  <si>
    <t>Строительно-монтажные работы на ТП</t>
  </si>
  <si>
    <t>Строительно-монтажные работы на РП</t>
  </si>
  <si>
    <t>Строительно-монтажные работы на ПС</t>
  </si>
  <si>
    <t>Приобретение и установка АСКУЭ и ТМ на ТП</t>
  </si>
  <si>
    <t>12.1.</t>
  </si>
  <si>
    <t>12.2.</t>
  </si>
  <si>
    <t>12.3.</t>
  </si>
  <si>
    <t>12.4.</t>
  </si>
  <si>
    <t>40
108</t>
  </si>
  <si>
    <t>Приобретение кабеля силового NA2XS(F)2Y -KZ- 6/10(12)kV-IEC60502-2</t>
  </si>
  <si>
    <t xml:space="preserve">Приобретение муфт </t>
  </si>
  <si>
    <t>13.1.</t>
  </si>
  <si>
    <t>13.2.</t>
  </si>
  <si>
    <t>Приобретение РУ-0,4 кВ</t>
  </si>
  <si>
    <t>Приобретение РУ-10 кВ</t>
  </si>
  <si>
    <t>Приобретение шкафа серии КМ-1КФ-КЕМ/kz</t>
  </si>
  <si>
    <t>Приобретение камеры линейной КСО-292</t>
  </si>
  <si>
    <t xml:space="preserve">Приобретение Здания блочно-модульного типа БМЗ из сэндвич панелей </t>
  </si>
  <si>
    <t>Приобретение Цельнометаллического блока контейнера габаритами (ВхШхГ мм=2440х2000х3700).</t>
  </si>
  <si>
    <t>Приобретение шкафа ТМ ATI-16QI</t>
  </si>
  <si>
    <t>Приобретение кабелей силовых на напряжение 10кВ, марки АХAL-TT</t>
  </si>
  <si>
    <t>Строительно-монтажные работы на ПС 5А</t>
  </si>
  <si>
    <t>Строительно-монтажные работы систем телемеханики РЭС-6</t>
  </si>
  <si>
    <t>Прокладка кабеля 10кВ</t>
  </si>
  <si>
    <t>Монтаж муфт</t>
  </si>
  <si>
    <t>Приобретение КТПБ 2х250</t>
  </si>
  <si>
    <t>Приобретение КТПБ 400</t>
  </si>
  <si>
    <t>Приобретение КТПБ 2х400</t>
  </si>
  <si>
    <t>Приобретение КТПБ 630</t>
  </si>
  <si>
    <t>Приобретение КТПБ 2х630</t>
  </si>
  <si>
    <t>шт.
комплект</t>
  </si>
  <si>
    <t>компл.
км
шт.</t>
  </si>
  <si>
    <t>103
107,499
959</t>
  </si>
  <si>
    <t xml:space="preserve">Ультрабук Lenovo Yoga Slim 7 (82AA000FRK) </t>
  </si>
  <si>
    <t>модуль</t>
  </si>
  <si>
    <t>модуль
шт</t>
  </si>
  <si>
    <t>4
4</t>
  </si>
  <si>
    <t>16.1.</t>
  </si>
  <si>
    <t>16.2.</t>
  </si>
  <si>
    <t>16.3.</t>
  </si>
  <si>
    <t>16.4.</t>
  </si>
  <si>
    <t>16.5.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</si>
  <si>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</si>
  <si>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</si>
  <si>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</si>
  <si>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</si>
  <si>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</si>
  <si>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</si>
  <si>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</si>
  <si>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</si>
  <si>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</si>
  <si>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</si>
  <si>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</si>
  <si>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</si>
  <si>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</si>
  <si>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</si>
  <si>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Установление Модуля «Веб клиент»</t>
  </si>
  <si>
    <t>Установление Модуля ГИС</t>
  </si>
  <si>
    <t>Установление Модуля автоматической подачи ремонтных заявок на ДП ОДС с подключением пользователей РЭС,1,2,3,4,5,6,7</t>
  </si>
  <si>
    <t>Обновление Оперативно-информационного комплекса ATI-SCADA до актуальной версии</t>
  </si>
  <si>
    <t>Видеокуб для построения видеостены</t>
  </si>
  <si>
    <t>Контроллер видеостены</t>
  </si>
  <si>
    <t>Комплект устройств для передачи видео сигнала</t>
  </si>
  <si>
    <t>Сетевой коммутатор</t>
  </si>
  <si>
    <t>Монитор оператора</t>
  </si>
  <si>
    <t>Персональный компьютер оператора</t>
  </si>
  <si>
    <t>Серверный шкаф для оборудования</t>
  </si>
  <si>
    <t>Источник бесперебойного питания</t>
  </si>
  <si>
    <t>LED (синий (голубой) цвет) для видеокуба Planar C70HDxi LED3</t>
  </si>
  <si>
    <t>LED (зеленый цвет) для видеокуба Planar C70HDxi LED3</t>
  </si>
  <si>
    <t>LED (красный (янтарный) цвет) для видеокуба Planar C70HDxi LED3</t>
  </si>
  <si>
    <t>Вентилятор блока питания видеокуба Planar C70HDxi LED3</t>
  </si>
  <si>
    <t>Вентилятор DMD модуля, видеокуба Planar C70HDxi LED4</t>
  </si>
  <si>
    <t>Коммутационные кабели, монтажные элементы, аксессуары и расходные материалы</t>
  </si>
  <si>
    <t>Поставка, установка и настройка программного обеспечения "Энергосфера 8.1" производства ООО "Прософт-Системы"</t>
  </si>
  <si>
    <t>Поставка, установка и настройка базы данных MS SQL Server</t>
  </si>
  <si>
    <t>Миграция всех данных с существующей системы АСКУЭ "Emcos Corporate" производства компании "Sigma Tellas" в новую</t>
  </si>
  <si>
    <t>Поставка, установка и настройка основного и резервного центра сбора данных АСКУЭ</t>
  </si>
  <si>
    <t>120
1</t>
  </si>
  <si>
    <t>шт.
компл.</t>
  </si>
  <si>
    <t xml:space="preserve">Приобретение и монтаж ЗРУ-10 кВ </t>
  </si>
  <si>
    <t>Приобретение и монтаж Здания ДГР в составе: -Kомплект дугогасящего реактора типа XHDZI-400/10- 4шт.; -Здание БМЗ из 9 блоков из сэндвич панелей (ВхШхГ мм=3250х20250х4500) с системами освещения, отопления, вентиляции, пожарной и охранной сигнализации; в комплекте со шкафом ШООВ управления освещением, отоплением, вентиляцией, пультом ОПС</t>
  </si>
  <si>
    <t>Строительные работы по устройству маслосборника емкостью 50 м3</t>
  </si>
  <si>
    <t>Установка Ограждения железобетонного внешнего Н=2,5м</t>
  </si>
  <si>
    <t>ограждение</t>
  </si>
  <si>
    <t>Приобретение Проводов неизолированных для воздушных линий электропередачи из стальных оцинкованных проволок 1 группы и алюминиевых проволок АС сечением 240/32 мм2 ГОСТ 839-80</t>
  </si>
  <si>
    <t>Монтаж ОРУ-110 кВ</t>
  </si>
  <si>
    <t>Приобретение и монтаж Видеонаблюдения</t>
  </si>
  <si>
    <t>Приобретение и монтаж Шкафа ТН-110кВ и тех.учета 8MF</t>
  </si>
  <si>
    <t>Приобретение и монтаж Шкафа зажимов ТН СШ 110 кВ</t>
  </si>
  <si>
    <t>Приобретение и монтаж ГЕУМ ПЛЮС-K-02-2СШ-01 (шкаф защиты присоединений от ОЗЗ для сетей с скомпенсированной нетралью)</t>
  </si>
  <si>
    <t>Приобретение и монтаж Шкафа противоаварийной автоматики ШЭ 2210621</t>
  </si>
  <si>
    <t>Приобретение и монтаж Шкафа защит трансформаторов на базе микропроцессорных реле РЗТ 412</t>
  </si>
  <si>
    <t>Приобретение и монтаж Шкафа РЗиА+РПН Тр-ра 110/10кВ 8MF</t>
  </si>
  <si>
    <t>Приобретение и монтаж Шкафа компоновочный телемеханики ATI 16QI (шкаф СМиУ №1)</t>
  </si>
  <si>
    <t>Приобретение и монтаж Шкафа АСКУЭ УТМ-64</t>
  </si>
  <si>
    <t>Приобретение и монтаж Ноутбука для обслуживания оборудования АСКУЭ HP, Core I3; HDD 500Гб; ОЗУ 4 Гб; DVD-R+R/-RW-RW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</si>
  <si>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</si>
  <si>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</si>
  <si>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</si>
  <si>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</si>
  <si>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</si>
  <si>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</si>
  <si>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</si>
  <si>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</si>
  <si>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</si>
  <si>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</si>
  <si>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</si>
  <si>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</si>
  <si>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</si>
  <si>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20.14.</t>
  </si>
  <si>
    <t>20.15.</t>
  </si>
  <si>
    <t>20.16.</t>
  </si>
  <si>
    <t>20.17.</t>
  </si>
  <si>
    <t>20.18.</t>
  </si>
  <si>
    <t>20.19.</t>
  </si>
  <si>
    <t xml:space="preserve">Приобретение и монтаж на ПС Алматы 500. Доукомплектация системы цифровой связи на базе мультиплексоров FOX615 </t>
  </si>
  <si>
    <t>Приобретение и монтаж на ПС 220/110-10 кВ "Каскелен". Доукомплектация системы цифровой связи на базе мультиплексоров FOX515</t>
  </si>
  <si>
    <t xml:space="preserve">Приобретение и монтаж на ПС 110/10-10кВ "Кокозек". Система цифровой связи на базе мультиплексеров FOX615, смонтированная в телекоммуникационный шкаф, включая систему бесперебойного питания </t>
  </si>
  <si>
    <t>компл.
ограждение
тонн
шт.</t>
  </si>
  <si>
    <t>10
1
100,39
10</t>
  </si>
  <si>
    <t xml:space="preserve">Демонтаж провода и грозозащитного троса на ВЛ-110 кВ №120 АИ </t>
  </si>
  <si>
    <t>Подвеска провода и грозозащитного троса на ВЛ-110 кВ №102А</t>
  </si>
  <si>
    <t>Строительно-монтажные работы по замене аварийной анкерно-угловой опоры №15</t>
  </si>
  <si>
    <t xml:space="preserve">Приобретение и подвеска провода АССС Copenhagen 230 </t>
  </si>
  <si>
    <t>Строительно-монтажные работы по замене аварийной анкерно-угловой опоры №19</t>
  </si>
  <si>
    <t>Строительно-монтажные работы по усилению (окраска, грунтовка) опор №16,17,18,20,21)</t>
  </si>
  <si>
    <t>Замена ошиновки гибкой на ВЛ-110 кВ №109А</t>
  </si>
  <si>
    <t>пролет</t>
  </si>
  <si>
    <t>Приобретение выключателей автоматических</t>
  </si>
  <si>
    <t>Монтаж выключателей автоматических</t>
  </si>
  <si>
    <t>Приобретение и монтаж шкафа распределения переменного тока АС</t>
  </si>
  <si>
    <t>Приобретение и монтаж шкафа управления разъединителями DC</t>
  </si>
  <si>
    <t>Приобретение и монтаж шкафа зажимов ДЗШ Ш220 15.010</t>
  </si>
  <si>
    <t>Устройства металлоконструкции к оборудованию заводского изготовления</t>
  </si>
  <si>
    <t>Приобретение кабелей контрольных</t>
  </si>
  <si>
    <t>Монтаж кабелей контрольных</t>
  </si>
  <si>
    <t>Строительно-монтажные работы по замене аварийной анкерно-угловой опоры №20 на ВЛ-110 кВ №123А</t>
  </si>
  <si>
    <t xml:space="preserve"> Приобретение и монтаж проводов АССС Copenhagen 230 на ВЛ-110 кВ №123А</t>
  </si>
  <si>
    <t>Демонтаж проводов на ВЛ-110 кВ №102А</t>
  </si>
  <si>
    <t xml:space="preserve"> Приобретение и монтаж проводов АССС Copenhagen 230 на ВЛ-110 кВ №102А</t>
  </si>
  <si>
    <t>Приобретение и монтаж зажимов на ВЛ-110 кВ №109А</t>
  </si>
  <si>
    <t>Приобретение и монтаж зажимов на ВЛ-110 кВ №120АИ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</si>
  <si>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</si>
  <si>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</si>
  <si>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</si>
  <si>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</si>
  <si>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</si>
  <si>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</si>
  <si>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</si>
  <si>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</si>
  <si>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</si>
  <si>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24.10.</t>
  </si>
  <si>
    <t>24.11.</t>
  </si>
  <si>
    <t>24.12.</t>
  </si>
  <si>
    <t>24.13.</t>
  </si>
  <si>
    <t>24.14.</t>
  </si>
  <si>
    <t>24.15.</t>
  </si>
  <si>
    <t>24.16.</t>
  </si>
  <si>
    <t>24.17.</t>
  </si>
  <si>
    <t>24.18.</t>
  </si>
  <si>
    <t>24.19.</t>
  </si>
  <si>
    <t>24.20.</t>
  </si>
  <si>
    <t>24.21.</t>
  </si>
  <si>
    <t>км
шт.
пролет
тонн</t>
  </si>
  <si>
    <t>10,3142
38
27
2,47</t>
  </si>
  <si>
    <t>Приобретение анкерного зажима DN 120</t>
  </si>
  <si>
    <t>Приобретение фасадного крепления SF 50</t>
  </si>
  <si>
    <t xml:space="preserve">Приобретение кабеля силового </t>
  </si>
  <si>
    <t>Прокладка кабеля силового</t>
  </si>
  <si>
    <t>Приобретение провода изолированного СИП</t>
  </si>
  <si>
    <t>Подвеска провода изолированного СИП</t>
  </si>
  <si>
    <t>Приобретение Камеры КСО-3М(366) с выключателем нагрузки ВНА-10/630-4Н с предохранителями - 1шт. Трансформатор силовой ТМГ400/10/0,4кВ-1шт.</t>
  </si>
  <si>
    <t>подстанция</t>
  </si>
  <si>
    <t>Демонтаж деревянных опор</t>
  </si>
  <si>
    <t>опора</t>
  </si>
  <si>
    <t>Демонтаж старых проводов ВЛ 0,38кВ</t>
  </si>
  <si>
    <t>Демонтаж. Трансформатор силовой, автотрансформатор или масляный реактор, масса до 3 т (ТМ-250 кВА)</t>
  </si>
  <si>
    <t>Демонтаж подстанции комплектной напряжением до 10 кВ с трансфоратором мощностью до 400 кВА (КТПН)</t>
  </si>
  <si>
    <t>Монтажные работы подстанции комплектной напряжением до 10 кВ с трансформатором мощностью до 400 кВА</t>
  </si>
  <si>
    <t xml:space="preserve">Приобретение муфты </t>
  </si>
  <si>
    <t>Монтаж муфты</t>
  </si>
  <si>
    <t>Демонтаж трансформатора силового, автотрансформатор или масляный реактор, масса до 3 т (ТМ-400 кВА)</t>
  </si>
  <si>
    <t>Монтажные работы трансформатора силового</t>
  </si>
  <si>
    <t>26.1.</t>
  </si>
  <si>
    <t>26.5.</t>
  </si>
  <si>
    <t>26.2.</t>
  </si>
  <si>
    <t>26.3.</t>
  </si>
  <si>
    <t>26.4.</t>
  </si>
  <si>
    <t>26.6.</t>
  </si>
  <si>
    <t>26.7.</t>
  </si>
  <si>
    <t>26.8.</t>
  </si>
  <si>
    <t>26.9.</t>
  </si>
  <si>
    <t>26.10.</t>
  </si>
  <si>
    <t>26.11.</t>
  </si>
  <si>
    <t>26.12.</t>
  </si>
  <si>
    <t>26.13.</t>
  </si>
  <si>
    <t>26.14.</t>
  </si>
  <si>
    <t>26.15.</t>
  </si>
  <si>
    <t>26.16.</t>
  </si>
  <si>
    <t>412
30,18
3
10
102</t>
  </si>
  <si>
    <t>шт.
км
компл.
подстанция
опора</t>
  </si>
  <si>
    <t>Приобретение провода марки СИПн-4у</t>
  </si>
  <si>
    <t>Приобретение провода марки СИП-3</t>
  </si>
  <si>
    <t>27.1.</t>
  </si>
  <si>
    <t>27.2.</t>
  </si>
  <si>
    <t>28.1.</t>
  </si>
  <si>
    <t>28.2.</t>
  </si>
  <si>
    <t>29.1.</t>
  </si>
  <si>
    <t>29.2.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</si>
  <si>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</si>
  <si>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</si>
  <si>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</si>
  <si>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</si>
  <si>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</si>
  <si>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</si>
  <si>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</si>
  <si>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</si>
  <si>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</si>
  <si>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</si>
  <si>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</si>
  <si>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</si>
  <si>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</si>
  <si>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</si>
  <si>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18.1.</t>
  </si>
  <si>
    <t>18.2.</t>
  </si>
  <si>
    <t>18.3.</t>
  </si>
  <si>
    <t>18.4.</t>
  </si>
  <si>
    <t>програмное обеспечение</t>
  </si>
  <si>
    <t>Модуль связи ТИТ-430У для телемеханики</t>
  </si>
  <si>
    <t>Количество в натуральных показателях</t>
  </si>
  <si>
    <t>план</t>
  </si>
  <si>
    <t>факт</t>
  </si>
  <si>
    <t>Информация о реализации инвестиционной программы (проекта) в разрезе источников финансирования, тыс. тенге</t>
  </si>
  <si>
    <t>Собственные средства</t>
  </si>
  <si>
    <t>Заемные средства</t>
  </si>
  <si>
    <t>Бюджетные средства</t>
  </si>
  <si>
    <t>План  (Увеличение уставного капитала)</t>
  </si>
  <si>
    <t>Информация субъекта естественной монополии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</si>
  <si>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</si>
  <si>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</si>
  <si>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</si>
  <si>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</si>
  <si>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о ходе исполнения субъектом инвестиционной программы за 4 квартал 2021 года</t>
  </si>
  <si>
    <t>Сумма инвестиционной программы (проекты), тыс. тенге</t>
  </si>
  <si>
    <t>34.19</t>
  </si>
  <si>
    <t>Радиостанция портативная</t>
  </si>
  <si>
    <t>34.20</t>
  </si>
  <si>
    <t>34.21</t>
  </si>
  <si>
    <t>34.22</t>
  </si>
  <si>
    <t>34.23</t>
  </si>
  <si>
    <t>34.24</t>
  </si>
  <si>
    <t xml:space="preserve">Ноутбук </t>
  </si>
  <si>
    <t>Зеркало</t>
  </si>
  <si>
    <t xml:space="preserve">Холодильник </t>
  </si>
  <si>
    <t>30
107,499
959</t>
  </si>
  <si>
    <t>17.15.</t>
  </si>
  <si>
    <t>Ноутбук Dell, Vostro 3500 (В комплекте – 1 предустановленная операционная система.)</t>
  </si>
  <si>
    <t>6.3.</t>
  </si>
  <si>
    <t>Приобретение устройства Телемеханики Sigmeco для РП</t>
  </si>
  <si>
    <t>41,944
84</t>
  </si>
  <si>
    <t>7.3.</t>
  </si>
  <si>
    <t>7.4.</t>
  </si>
  <si>
    <t>Приобретение устройства Телемеханики Sigmeco для ТП</t>
  </si>
  <si>
    <t>12,355
152</t>
  </si>
  <si>
    <t>Приобретение провода самонесущего изолированного для ВЛЭП СИП-3</t>
  </si>
  <si>
    <t>8.7.</t>
  </si>
  <si>
    <t>8.8.</t>
  </si>
  <si>
    <t>8.9.</t>
  </si>
  <si>
    <t>8.10.</t>
  </si>
  <si>
    <t>14
15,93</t>
  </si>
  <si>
    <t>компл.
шт.
км</t>
  </si>
  <si>
    <t>16,97
1 121</t>
  </si>
  <si>
    <t>ЗРУ-10 кВ в составе: -РУ-10 кВ из 62 шкафов типа KM-1КФ-KEM/kz в составе: шкаф ввода с вакуумным выключателем VL-KEM/kz 2500A/31,5 кА, блоком защиты 7SJ66, счетчиком Альфа А1805-4шт.; шкаф отходящей линии с вакуумным выключателем VL-KEM/kz 1250A/25кА, блоком защиты 7SJ80, счетчиком Альфа А1805-50шт.; шкаф трансформатора напряжения с трансформатором напряждения 3х3НОЛП, блоком защиты 7RW80-4шт., шкаф секционного выключателя с вауумным выключателем VL-KEM/kz 2500A/31,5кА, блоком защиты 7SJ66-2шт.; шкаф секционного разъединителя-2шт.; шинный ввод-4шт.; -Здание БМЗ из 20 блоков сэндвич панелей (ВхШхГ мм=3250х45000х6750) с системами освещения, отопления, вентиляции, пожарной и охранной сигнализации; в комплекте со шкафом ШООВ управления освещением, отоплением, вентиляцией, пультом ОПС.</t>
  </si>
  <si>
    <t>Приобретение и монтаж трансформатора 110 кВ VEOT-123</t>
  </si>
  <si>
    <t>7
1
100,39
9</t>
  </si>
  <si>
    <t>Приобретение провода марки СИПн-5</t>
  </si>
  <si>
    <t>Устройство сбора данных телеметрии "Sigmeco" для ТП</t>
  </si>
  <si>
    <t>51,855
2</t>
  </si>
  <si>
    <t>Приобретение кабеля силового 10кВ AL/XL PE/PE enhanced Smart OM</t>
  </si>
  <si>
    <t>Устройство сбора данных телеметрии "Sigmeco" для РП</t>
  </si>
  <si>
    <t>252,03
3</t>
  </si>
  <si>
    <t>24,761
1</t>
  </si>
  <si>
    <t>Комплект -12
Штук -759</t>
  </si>
  <si>
    <t>Комплект -9
Штук -814</t>
  </si>
  <si>
    <t>Работа -38
Комплект -98
Штук -665</t>
  </si>
  <si>
    <t xml:space="preserve">Коммутатор сетевой, управляемый, асимметричный </t>
  </si>
  <si>
    <t>33.104</t>
  </si>
  <si>
    <t>Трансформатор напряжения (3хЗНОЛП 6кВ 6000/100 0,5) заземляемый, класс напряжения 6</t>
  </si>
  <si>
    <t xml:space="preserve">Аккумляторная батарея MARATHON FT, M 12V155 FT 12 V 155AH </t>
  </si>
  <si>
    <t>Трансформатор тока: ТОЛ-10/0,5S/10P-200/5</t>
  </si>
  <si>
    <t>Трансформатор тока ТОЛ-10-ЗУХЛ2.1 0,5S/10Р/10Р (трехобмоточные) к/тт 400/5</t>
  </si>
  <si>
    <t>Работа -37,5
Комплект -97
Штук -715</t>
  </si>
  <si>
    <t>Перевод сетей 6 кВ на напряжение 10 кВ на ПС №6А, ПС №3А (ПС №168А). 1-ый этап</t>
  </si>
  <si>
    <t xml:space="preserve">Трансформатор тока ТПЛ-10-М-1 0,5S/10Р/10Р (трехобмоточные) к/тт 300/5  </t>
  </si>
  <si>
    <t>33.105</t>
  </si>
  <si>
    <t>33.106</t>
  </si>
  <si>
    <t>33.107</t>
  </si>
  <si>
    <t>33.108</t>
  </si>
  <si>
    <t>33.109</t>
  </si>
  <si>
    <t>33.110</t>
  </si>
  <si>
    <t>33.111</t>
  </si>
  <si>
    <t>33.112</t>
  </si>
  <si>
    <t>33.113</t>
  </si>
  <si>
    <t>29.3.</t>
  </si>
  <si>
    <t>29.4.</t>
  </si>
  <si>
    <t>28.3.</t>
  </si>
  <si>
    <t>28.4.</t>
  </si>
  <si>
    <t>28.5.</t>
  </si>
  <si>
    <t>28.6.</t>
  </si>
  <si>
    <t>27.3.</t>
  </si>
  <si>
    <t>27.4.</t>
  </si>
  <si>
    <t>20.20.</t>
  </si>
  <si>
    <t>14.15.</t>
  </si>
  <si>
    <t xml:space="preserve">Трансформатор напряжения НТМИ-10 </t>
  </si>
  <si>
    <t xml:space="preserve">Трансформатор тока ТОЛ-10/0,5S/10P-100/5 </t>
  </si>
  <si>
    <t xml:space="preserve">Трансформатор тока ТПЛМ-10 200/5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</si>
</sst>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_р_._-;\-* #,##0_р_._-;_-* &quot;-&quot;??_р_._-;_-@_-"/>
    <numFmt numFmtId="166" formatCode="_-* #,##0.00_р_._-;\-* #,##0.00_р_._-;_-* &quot;-&quot;??_р_._-;_-@_-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3" fillId="0" borderId="0">
      <alignment horizontal="left" vertical="top"/>
    </xf>
    <xf numFmtId="0" fontId="11" fillId="0" borderId="0"/>
    <xf numFmtId="0" fontId="3" fillId="0" borderId="0"/>
    <xf numFmtId="0" fontId="1" fillId="0" borderId="0"/>
    <xf numFmtId="0" fontId="12" fillId="0" borderId="0"/>
    <xf numFmtId="0" fontId="4" fillId="0" borderId="0"/>
    <xf numFmtId="0" fontId="4" fillId="0" borderId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1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165" fontId="8" fillId="0" borderId="22" xfId="1" applyNumberFormat="1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 applyProtection="1">
      <alignment horizontal="right" vertical="center" wrapText="1"/>
    </xf>
    <xf numFmtId="0" fontId="10" fillId="0" borderId="29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165" fontId="8" fillId="0" borderId="24" xfId="1" applyNumberFormat="1" applyFont="1" applyFill="1" applyBorder="1" applyAlignment="1" applyProtection="1">
      <alignment horizontal="right" vertical="center" wrapText="1"/>
    </xf>
    <xf numFmtId="165" fontId="8" fillId="0" borderId="21" xfId="1" applyNumberFormat="1" applyFont="1" applyFill="1" applyBorder="1" applyAlignment="1" applyProtection="1">
      <alignment horizontal="center" vertical="center" wrapText="1"/>
    </xf>
    <xf numFmtId="165" fontId="8" fillId="0" borderId="23" xfId="1" applyNumberFormat="1" applyFont="1" applyFill="1" applyBorder="1" applyAlignment="1" applyProtection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 applyProtection="1">
      <alignment horizontal="center" vertical="center" wrapText="1"/>
    </xf>
    <xf numFmtId="165" fontId="7" fillId="0" borderId="24" xfId="1" applyNumberFormat="1" applyFont="1" applyFill="1" applyBorder="1" applyAlignment="1" applyProtection="1">
      <alignment horizontal="right" vertical="center" wrapText="1"/>
    </xf>
    <xf numFmtId="165" fontId="7" fillId="0" borderId="23" xfId="1" applyNumberFormat="1" applyFont="1" applyFill="1" applyBorder="1" applyAlignment="1" applyProtection="1">
      <alignment horizontal="center" vertical="center" wrapText="1"/>
    </xf>
    <xf numFmtId="165" fontId="8" fillId="0" borderId="21" xfId="1" applyNumberFormat="1" applyFont="1" applyFill="1" applyBorder="1" applyAlignment="1" applyProtection="1">
      <alignment horizontal="right" vertical="center" wrapText="1"/>
    </xf>
    <xf numFmtId="3" fontId="14" fillId="0" borderId="22" xfId="0" applyNumberFormat="1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16" fontId="7" fillId="0" borderId="2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5" fontId="8" fillId="0" borderId="6" xfId="1" applyNumberFormat="1" applyFont="1" applyFill="1" applyBorder="1" applyAlignment="1" applyProtection="1">
      <alignment horizontal="right" vertical="center" wrapText="1"/>
    </xf>
    <xf numFmtId="3" fontId="8" fillId="0" borderId="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/>
    <xf numFmtId="0" fontId="7" fillId="0" borderId="23" xfId="0" applyFont="1" applyFill="1" applyBorder="1" applyAlignment="1"/>
    <xf numFmtId="0" fontId="8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/>
    </xf>
    <xf numFmtId="165" fontId="7" fillId="0" borderId="21" xfId="1" applyNumberFormat="1" applyFont="1" applyFill="1" applyBorder="1" applyAlignment="1" applyProtection="1">
      <alignment horizontal="center" vertical="center" wrapText="1"/>
    </xf>
    <xf numFmtId="165" fontId="7" fillId="0" borderId="29" xfId="1" applyNumberFormat="1" applyFont="1" applyFill="1" applyBorder="1" applyAlignment="1" applyProtection="1">
      <alignment horizontal="right" vertical="center" wrapText="1"/>
    </xf>
    <xf numFmtId="165" fontId="7" fillId="0" borderId="21" xfId="1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/>
    <xf numFmtId="0" fontId="8" fillId="2" borderId="0" xfId="0" applyFont="1" applyFill="1" applyAlignment="1"/>
    <xf numFmtId="0" fontId="8" fillId="0" borderId="15" xfId="0" applyFont="1" applyFill="1" applyBorder="1" applyAlignment="1"/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/>
    <xf numFmtId="3" fontId="7" fillId="0" borderId="36" xfId="0" applyNumberFormat="1" applyFont="1" applyFill="1" applyBorder="1" applyAlignment="1"/>
    <xf numFmtId="3" fontId="5" fillId="0" borderId="36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165" fontId="5" fillId="0" borderId="36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65" fontId="7" fillId="0" borderId="29" xfId="1" applyNumberFormat="1" applyFont="1" applyFill="1" applyBorder="1" applyAlignment="1" applyProtection="1">
      <alignment horizontal="center" vertical="center" wrapText="1"/>
    </xf>
    <xf numFmtId="165" fontId="7" fillId="0" borderId="22" xfId="1" applyNumberFormat="1" applyFont="1" applyFill="1" applyBorder="1" applyAlignment="1" applyProtection="1">
      <alignment horizontal="right" vertical="center" wrapText="1"/>
    </xf>
    <xf numFmtId="0" fontId="8" fillId="0" borderId="32" xfId="0" applyFont="1" applyFill="1" applyBorder="1" applyAlignment="1" applyProtection="1">
      <alignment horizontal="left" vertical="center" wrapText="1"/>
    </xf>
    <xf numFmtId="0" fontId="8" fillId="0" borderId="34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3" xfId="0" applyFont="1" applyFill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167" fontId="7" fillId="0" borderId="22" xfId="15" applyNumberFormat="1" applyFont="1" applyFill="1" applyBorder="1" applyAlignment="1" applyProtection="1">
      <alignment horizontal="right" vertical="center" wrapText="1"/>
    </xf>
    <xf numFmtId="0" fontId="7" fillId="0" borderId="43" xfId="0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165" fontId="7" fillId="0" borderId="31" xfId="1" applyNumberFormat="1" applyFont="1" applyFill="1" applyBorder="1" applyAlignment="1" applyProtection="1">
      <alignment horizontal="right" vertical="center" wrapText="1"/>
    </xf>
    <xf numFmtId="165" fontId="8" fillId="0" borderId="31" xfId="1" applyNumberFormat="1" applyFont="1" applyFill="1" applyBorder="1" applyAlignment="1" applyProtection="1">
      <alignment horizontal="right" vertical="center" wrapText="1"/>
    </xf>
    <xf numFmtId="167" fontId="7" fillId="0" borderId="31" xfId="15" applyNumberFormat="1" applyFont="1" applyFill="1" applyBorder="1" applyAlignment="1" applyProtection="1">
      <alignment horizontal="right" vertical="center" wrapText="1"/>
    </xf>
    <xf numFmtId="3" fontId="12" fillId="0" borderId="31" xfId="14" applyNumberFormat="1" applyFont="1" applyFill="1" applyBorder="1" applyAlignment="1" applyProtection="1">
      <alignment vertical="center" wrapText="1"/>
    </xf>
    <xf numFmtId="3" fontId="12" fillId="0" borderId="44" xfId="14" applyNumberFormat="1" applyFont="1" applyFill="1" applyBorder="1" applyAlignment="1" applyProtection="1">
      <alignment vertical="center" wrapText="1"/>
    </xf>
    <xf numFmtId="0" fontId="14" fillId="0" borderId="31" xfId="0" applyFont="1" applyFill="1" applyBorder="1" applyAlignment="1">
      <alignment horizontal="left"/>
    </xf>
    <xf numFmtId="0" fontId="14" fillId="0" borderId="44" xfId="0" applyFont="1" applyFill="1" applyBorder="1" applyAlignment="1">
      <alignment horizontal="left"/>
    </xf>
    <xf numFmtId="0" fontId="7" fillId="0" borderId="31" xfId="0" applyFont="1" applyFill="1" applyBorder="1" applyAlignment="1"/>
    <xf numFmtId="0" fontId="7" fillId="0" borderId="44" xfId="0" applyFont="1" applyFill="1" applyBorder="1" applyAlignment="1"/>
    <xf numFmtId="165" fontId="7" fillId="0" borderId="2" xfId="1" applyNumberFormat="1" applyFont="1" applyFill="1" applyBorder="1" applyAlignment="1" applyProtection="1">
      <alignment horizontal="right" vertical="center" wrapText="1"/>
    </xf>
    <xf numFmtId="165" fontId="8" fillId="0" borderId="2" xfId="1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4" xfId="0" applyFont="1" applyFill="1" applyBorder="1" applyAlignment="1" applyProtection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165" fontId="7" fillId="0" borderId="35" xfId="1" applyNumberFormat="1" applyFont="1" applyFill="1" applyBorder="1" applyAlignment="1" applyProtection="1">
      <alignment horizontal="right" vertical="center" wrapText="1"/>
    </xf>
    <xf numFmtId="165" fontId="7" fillId="0" borderId="1" xfId="1" applyNumberFormat="1" applyFont="1" applyFill="1" applyBorder="1" applyAlignment="1" applyProtection="1">
      <alignment horizontal="righ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65" fontId="7" fillId="0" borderId="44" xfId="1" applyNumberFormat="1" applyFont="1" applyFill="1" applyBorder="1" applyAlignment="1" applyProtection="1">
      <alignment horizontal="right" vertical="center" wrapText="1"/>
    </xf>
    <xf numFmtId="165" fontId="7" fillId="0" borderId="3" xfId="1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/>
    </xf>
    <xf numFmtId="165" fontId="7" fillId="0" borderId="43" xfId="1" applyNumberFormat="1" applyFont="1" applyFill="1" applyBorder="1" applyAlignment="1" applyProtection="1">
      <alignment horizontal="right" vertical="center" wrapText="1"/>
    </xf>
    <xf numFmtId="165" fontId="7" fillId="0" borderId="6" xfId="1" applyNumberFormat="1" applyFont="1" applyFill="1" applyBorder="1" applyAlignment="1" applyProtection="1">
      <alignment horizontal="right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 wrapText="1"/>
    </xf>
    <xf numFmtId="165" fontId="7" fillId="0" borderId="44" xfId="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65" fontId="7" fillId="0" borderId="43" xfId="1" applyNumberFormat="1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/>
    </xf>
    <xf numFmtId="165" fontId="7" fillId="0" borderId="45" xfId="1" applyNumberFormat="1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8" fillId="0" borderId="39" xfId="0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165" fontId="8" fillId="0" borderId="43" xfId="1" applyNumberFormat="1" applyFont="1" applyFill="1" applyBorder="1" applyAlignment="1" applyProtection="1">
      <alignment horizontal="righ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5" fontId="7" fillId="0" borderId="45" xfId="1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/>
    </xf>
    <xf numFmtId="165" fontId="7" fillId="0" borderId="35" xfId="1" applyNumberFormat="1" applyFont="1" applyFill="1" applyBorder="1" applyAlignment="1" applyProtection="1">
      <alignment horizontal="center" vertical="center" wrapText="1"/>
    </xf>
    <xf numFmtId="165" fontId="8" fillId="0" borderId="35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8" fillId="0" borderId="44" xfId="1" applyNumberFormat="1" applyFont="1" applyFill="1" applyBorder="1" applyAlignment="1" applyProtection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165" fontId="8" fillId="0" borderId="35" xfId="1" applyNumberFormat="1" applyFont="1" applyFill="1" applyBorder="1" applyAlignment="1" applyProtection="1">
      <alignment horizontal="right" vertical="center" wrapText="1"/>
    </xf>
    <xf numFmtId="165" fontId="8" fillId="0" borderId="1" xfId="1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top"/>
    </xf>
    <xf numFmtId="0" fontId="8" fillId="0" borderId="0" xfId="0" applyFont="1" applyFill="1" applyBorder="1" applyAlignment="1"/>
    <xf numFmtId="165" fontId="7" fillId="0" borderId="9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165" fontId="7" fillId="0" borderId="35" xfId="1" applyNumberFormat="1" applyFont="1" applyFill="1" applyBorder="1" applyAlignment="1" applyProtection="1">
      <alignment horizontal="center" vertical="center" wrapText="1"/>
    </xf>
    <xf numFmtId="165" fontId="7" fillId="0" borderId="31" xfId="1" applyNumberFormat="1" applyFont="1" applyFill="1" applyBorder="1" applyAlignment="1" applyProtection="1">
      <alignment horizontal="center" vertical="center" wrapText="1"/>
    </xf>
    <xf numFmtId="165" fontId="7" fillId="0" borderId="44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165" fontId="7" fillId="0" borderId="21" xfId="1" applyNumberFormat="1" applyFont="1" applyFill="1" applyBorder="1" applyAlignment="1" applyProtection="1">
      <alignment horizontal="right" vertical="center" wrapText="1"/>
    </xf>
    <xf numFmtId="0" fontId="0" fillId="0" borderId="22" xfId="0" applyFill="1" applyBorder="1" applyAlignment="1">
      <alignment horizontal="right" vertical="center" wrapText="1"/>
    </xf>
    <xf numFmtId="0" fontId="0" fillId="0" borderId="23" xfId="0" applyFill="1" applyBorder="1" applyAlignment="1">
      <alignment horizontal="right" vertical="center" wrapText="1"/>
    </xf>
    <xf numFmtId="165" fontId="7" fillId="0" borderId="21" xfId="1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5" fontId="7" fillId="0" borderId="25" xfId="1" applyNumberFormat="1" applyFont="1" applyFill="1" applyBorder="1" applyAlignment="1" applyProtection="1">
      <alignment horizontal="center" vertical="center" wrapText="1"/>
    </xf>
    <xf numFmtId="165" fontId="7" fillId="0" borderId="29" xfId="1" applyNumberFormat="1" applyFont="1" applyFill="1" applyBorder="1" applyAlignment="1" applyProtection="1">
      <alignment horizontal="center" vertical="center" wrapText="1"/>
    </xf>
    <xf numFmtId="165" fontId="7" fillId="0" borderId="30" xfId="1" applyNumberFormat="1" applyFont="1" applyFill="1" applyBorder="1" applyAlignment="1" applyProtection="1">
      <alignment horizontal="center" vertical="center" wrapText="1"/>
    </xf>
    <xf numFmtId="165" fontId="7" fillId="0" borderId="10" xfId="1" applyNumberFormat="1" applyFont="1" applyFill="1" applyBorder="1" applyAlignment="1" applyProtection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7" fillId="0" borderId="11" xfId="1" applyNumberFormat="1" applyFont="1" applyFill="1" applyBorder="1" applyAlignment="1" applyProtection="1">
      <alignment horizontal="center" vertical="center" wrapText="1"/>
    </xf>
    <xf numFmtId="165" fontId="7" fillId="0" borderId="22" xfId="1" applyNumberFormat="1" applyFont="1" applyFill="1" applyBorder="1" applyAlignment="1" applyProtection="1">
      <alignment horizontal="center" vertical="center" wrapText="1"/>
    </xf>
    <xf numFmtId="165" fontId="7" fillId="0" borderId="23" xfId="1" applyNumberFormat="1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165" fontId="7" fillId="0" borderId="35" xfId="1" applyNumberFormat="1" applyFont="1" applyFill="1" applyBorder="1" applyAlignment="1" applyProtection="1">
      <alignment horizontal="right" vertical="center" wrapText="1"/>
    </xf>
    <xf numFmtId="0" fontId="0" fillId="0" borderId="31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</cellXfs>
  <cellStyles count="16">
    <cellStyle name="S4" xfId="6"/>
    <cellStyle name="Обычный" xfId="0" builtinId="0"/>
    <cellStyle name="Обычный 2" xfId="4"/>
    <cellStyle name="Обычный 3" xfId="7"/>
    <cellStyle name="Обычный 3 2" xfId="1"/>
    <cellStyle name="Обычный 3 2 2 2 2" xfId="8"/>
    <cellStyle name="Обычный 3 2 2 5" xfId="9"/>
    <cellStyle name="Обычный 4" xfId="10"/>
    <cellStyle name="Обычный 58" xfId="11"/>
    <cellStyle name="Обычный 59" xfId="12"/>
    <cellStyle name="Финансовый" xfId="15" builtinId="3"/>
    <cellStyle name="Финансовый 2" xfId="5"/>
    <cellStyle name="Финансовый 2 10 4" xfId="3"/>
    <cellStyle name="Финансовый 3" xfId="2"/>
    <cellStyle name="Финансовый 3 2 4" xfId="14"/>
    <cellStyle name="Финансовый 4" xfId="13"/>
  </cellStyles>
  <dxfs count="0"/>
  <tableStyles count="0" defaultTableStyle="TableStyleMedium2" defaultPivotStyle="PivotStyleLight16"/>
  <colors>
    <mruColors>
      <color rgb="FF2AF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7"/>
  <sheetViews>
    <sheetView tabSelected="1" view="pageBreakPreview" zoomScale="60" zoomScaleNormal="80" workbookViewId="0">
      <pane xSplit="3" ySplit="13" topLeftCell="D65" activePane="bottomRight" state="frozen"/>
      <selection pane="topRight" activeCell="D1" sqref="D1"/>
      <selection pane="bottomLeft" activeCell="A14" sqref="A14"/>
      <selection pane="bottomRight" activeCell="S331" sqref="S331"/>
    </sheetView>
  </sheetViews>
  <sheetFormatPr defaultRowHeight="15.75" outlineLevelRow="1" x14ac:dyDescent="0.25"/>
  <cols>
    <col min="1" max="1" width="10.28515625" style="5" customWidth="1"/>
    <col min="2" max="2" width="57.5703125" style="2" customWidth="1"/>
    <col min="3" max="3" width="17.28515625" style="3" customWidth="1"/>
    <col min="4" max="5" width="18.140625" style="3" customWidth="1"/>
    <col min="6" max="14" width="17" style="1" customWidth="1"/>
    <col min="15" max="200" width="9.140625" style="1"/>
    <col min="201" max="201" width="8.42578125" style="1" customWidth="1"/>
    <col min="202" max="202" width="62.5703125" style="1" customWidth="1"/>
    <col min="203" max="203" width="21" style="1" customWidth="1"/>
    <col min="204" max="204" width="15.42578125" style="1" customWidth="1"/>
    <col min="205" max="205" width="18.28515625" style="1" customWidth="1"/>
    <col min="206" max="209" width="16.5703125" style="1" customWidth="1"/>
    <col min="210" max="210" width="15.85546875" style="1" customWidth="1"/>
    <col min="211" max="211" width="11.28515625" style="1" customWidth="1"/>
    <col min="212" max="456" width="9.140625" style="1"/>
    <col min="457" max="457" width="8.42578125" style="1" customWidth="1"/>
    <col min="458" max="458" width="62.5703125" style="1" customWidth="1"/>
    <col min="459" max="459" width="21" style="1" customWidth="1"/>
    <col min="460" max="460" width="15.42578125" style="1" customWidth="1"/>
    <col min="461" max="461" width="18.28515625" style="1" customWidth="1"/>
    <col min="462" max="465" width="16.5703125" style="1" customWidth="1"/>
    <col min="466" max="466" width="15.85546875" style="1" customWidth="1"/>
    <col min="467" max="467" width="11.28515625" style="1" customWidth="1"/>
    <col min="468" max="712" width="9.140625" style="1"/>
    <col min="713" max="713" width="8.42578125" style="1" customWidth="1"/>
    <col min="714" max="714" width="62.5703125" style="1" customWidth="1"/>
    <col min="715" max="715" width="21" style="1" customWidth="1"/>
    <col min="716" max="716" width="15.42578125" style="1" customWidth="1"/>
    <col min="717" max="717" width="18.28515625" style="1" customWidth="1"/>
    <col min="718" max="721" width="16.5703125" style="1" customWidth="1"/>
    <col min="722" max="722" width="15.85546875" style="1" customWidth="1"/>
    <col min="723" max="723" width="11.28515625" style="1" customWidth="1"/>
    <col min="724" max="968" width="9.140625" style="1"/>
    <col min="969" max="969" width="8.42578125" style="1" customWidth="1"/>
    <col min="970" max="970" width="62.5703125" style="1" customWidth="1"/>
    <col min="971" max="971" width="21" style="1" customWidth="1"/>
    <col min="972" max="972" width="15.42578125" style="1" customWidth="1"/>
    <col min="973" max="973" width="18.28515625" style="1" customWidth="1"/>
    <col min="974" max="977" width="16.5703125" style="1" customWidth="1"/>
    <col min="978" max="978" width="15.85546875" style="1" customWidth="1"/>
    <col min="979" max="979" width="11.28515625" style="1" customWidth="1"/>
    <col min="980" max="1224" width="9.140625" style="1"/>
    <col min="1225" max="1225" width="8.42578125" style="1" customWidth="1"/>
    <col min="1226" max="1226" width="62.5703125" style="1" customWidth="1"/>
    <col min="1227" max="1227" width="21" style="1" customWidth="1"/>
    <col min="1228" max="1228" width="15.42578125" style="1" customWidth="1"/>
    <col min="1229" max="1229" width="18.28515625" style="1" customWidth="1"/>
    <col min="1230" max="1233" width="16.5703125" style="1" customWidth="1"/>
    <col min="1234" max="1234" width="15.85546875" style="1" customWidth="1"/>
    <col min="1235" max="1235" width="11.28515625" style="1" customWidth="1"/>
    <col min="1236" max="1480" width="9.140625" style="1"/>
    <col min="1481" max="1481" width="8.42578125" style="1" customWidth="1"/>
    <col min="1482" max="1482" width="62.5703125" style="1" customWidth="1"/>
    <col min="1483" max="1483" width="21" style="1" customWidth="1"/>
    <col min="1484" max="1484" width="15.42578125" style="1" customWidth="1"/>
    <col min="1485" max="1485" width="18.28515625" style="1" customWidth="1"/>
    <col min="1486" max="1489" width="16.5703125" style="1" customWidth="1"/>
    <col min="1490" max="1490" width="15.85546875" style="1" customWidth="1"/>
    <col min="1491" max="1491" width="11.28515625" style="1" customWidth="1"/>
    <col min="1492" max="1736" width="9.140625" style="1"/>
    <col min="1737" max="1737" width="8.42578125" style="1" customWidth="1"/>
    <col min="1738" max="1738" width="62.5703125" style="1" customWidth="1"/>
    <col min="1739" max="1739" width="21" style="1" customWidth="1"/>
    <col min="1740" max="1740" width="15.42578125" style="1" customWidth="1"/>
    <col min="1741" max="1741" width="18.28515625" style="1" customWidth="1"/>
    <col min="1742" max="1745" width="16.5703125" style="1" customWidth="1"/>
    <col min="1746" max="1746" width="15.85546875" style="1" customWidth="1"/>
    <col min="1747" max="1747" width="11.28515625" style="1" customWidth="1"/>
    <col min="1748" max="1992" width="9.140625" style="1"/>
    <col min="1993" max="1993" width="8.42578125" style="1" customWidth="1"/>
    <col min="1994" max="1994" width="62.5703125" style="1" customWidth="1"/>
    <col min="1995" max="1995" width="21" style="1" customWidth="1"/>
    <col min="1996" max="1996" width="15.42578125" style="1" customWidth="1"/>
    <col min="1997" max="1997" width="18.28515625" style="1" customWidth="1"/>
    <col min="1998" max="2001" width="16.5703125" style="1" customWidth="1"/>
    <col min="2002" max="2002" width="15.85546875" style="1" customWidth="1"/>
    <col min="2003" max="2003" width="11.28515625" style="1" customWidth="1"/>
    <col min="2004" max="2248" width="9.140625" style="1"/>
    <col min="2249" max="2249" width="8.42578125" style="1" customWidth="1"/>
    <col min="2250" max="2250" width="62.5703125" style="1" customWidth="1"/>
    <col min="2251" max="2251" width="21" style="1" customWidth="1"/>
    <col min="2252" max="2252" width="15.42578125" style="1" customWidth="1"/>
    <col min="2253" max="2253" width="18.28515625" style="1" customWidth="1"/>
    <col min="2254" max="2257" width="16.5703125" style="1" customWidth="1"/>
    <col min="2258" max="2258" width="15.85546875" style="1" customWidth="1"/>
    <col min="2259" max="2259" width="11.28515625" style="1" customWidth="1"/>
    <col min="2260" max="2504" width="9.140625" style="1"/>
    <col min="2505" max="2505" width="8.42578125" style="1" customWidth="1"/>
    <col min="2506" max="2506" width="62.5703125" style="1" customWidth="1"/>
    <col min="2507" max="2507" width="21" style="1" customWidth="1"/>
    <col min="2508" max="2508" width="15.42578125" style="1" customWidth="1"/>
    <col min="2509" max="2509" width="18.28515625" style="1" customWidth="1"/>
    <col min="2510" max="2513" width="16.5703125" style="1" customWidth="1"/>
    <col min="2514" max="2514" width="15.85546875" style="1" customWidth="1"/>
    <col min="2515" max="2515" width="11.28515625" style="1" customWidth="1"/>
    <col min="2516" max="2760" width="9.140625" style="1"/>
    <col min="2761" max="2761" width="8.42578125" style="1" customWidth="1"/>
    <col min="2762" max="2762" width="62.5703125" style="1" customWidth="1"/>
    <col min="2763" max="2763" width="21" style="1" customWidth="1"/>
    <col min="2764" max="2764" width="15.42578125" style="1" customWidth="1"/>
    <col min="2765" max="2765" width="18.28515625" style="1" customWidth="1"/>
    <col min="2766" max="2769" width="16.5703125" style="1" customWidth="1"/>
    <col min="2770" max="2770" width="15.85546875" style="1" customWidth="1"/>
    <col min="2771" max="2771" width="11.28515625" style="1" customWidth="1"/>
    <col min="2772" max="3016" width="9.140625" style="1"/>
    <col min="3017" max="3017" width="8.42578125" style="1" customWidth="1"/>
    <col min="3018" max="3018" width="62.5703125" style="1" customWidth="1"/>
    <col min="3019" max="3019" width="21" style="1" customWidth="1"/>
    <col min="3020" max="3020" width="15.42578125" style="1" customWidth="1"/>
    <col min="3021" max="3021" width="18.28515625" style="1" customWidth="1"/>
    <col min="3022" max="3025" width="16.5703125" style="1" customWidth="1"/>
    <col min="3026" max="3026" width="15.85546875" style="1" customWidth="1"/>
    <col min="3027" max="3027" width="11.28515625" style="1" customWidth="1"/>
    <col min="3028" max="3272" width="9.140625" style="1"/>
    <col min="3273" max="3273" width="8.42578125" style="1" customWidth="1"/>
    <col min="3274" max="3274" width="62.5703125" style="1" customWidth="1"/>
    <col min="3275" max="3275" width="21" style="1" customWidth="1"/>
    <col min="3276" max="3276" width="15.42578125" style="1" customWidth="1"/>
    <col min="3277" max="3277" width="18.28515625" style="1" customWidth="1"/>
    <col min="3278" max="3281" width="16.5703125" style="1" customWidth="1"/>
    <col min="3282" max="3282" width="15.85546875" style="1" customWidth="1"/>
    <col min="3283" max="3283" width="11.28515625" style="1" customWidth="1"/>
    <col min="3284" max="3528" width="9.140625" style="1"/>
    <col min="3529" max="3529" width="8.42578125" style="1" customWidth="1"/>
    <col min="3530" max="3530" width="62.5703125" style="1" customWidth="1"/>
    <col min="3531" max="3531" width="21" style="1" customWidth="1"/>
    <col min="3532" max="3532" width="15.42578125" style="1" customWidth="1"/>
    <col min="3533" max="3533" width="18.28515625" style="1" customWidth="1"/>
    <col min="3534" max="3537" width="16.5703125" style="1" customWidth="1"/>
    <col min="3538" max="3538" width="15.85546875" style="1" customWidth="1"/>
    <col min="3539" max="3539" width="11.28515625" style="1" customWidth="1"/>
    <col min="3540" max="3784" width="9.140625" style="1"/>
    <col min="3785" max="3785" width="8.42578125" style="1" customWidth="1"/>
    <col min="3786" max="3786" width="62.5703125" style="1" customWidth="1"/>
    <col min="3787" max="3787" width="21" style="1" customWidth="1"/>
    <col min="3788" max="3788" width="15.42578125" style="1" customWidth="1"/>
    <col min="3789" max="3789" width="18.28515625" style="1" customWidth="1"/>
    <col min="3790" max="3793" width="16.5703125" style="1" customWidth="1"/>
    <col min="3794" max="3794" width="15.85546875" style="1" customWidth="1"/>
    <col min="3795" max="3795" width="11.28515625" style="1" customWidth="1"/>
    <col min="3796" max="4040" width="9.140625" style="1"/>
    <col min="4041" max="4041" width="8.42578125" style="1" customWidth="1"/>
    <col min="4042" max="4042" width="62.5703125" style="1" customWidth="1"/>
    <col min="4043" max="4043" width="21" style="1" customWidth="1"/>
    <col min="4044" max="4044" width="15.42578125" style="1" customWidth="1"/>
    <col min="4045" max="4045" width="18.28515625" style="1" customWidth="1"/>
    <col min="4046" max="4049" width="16.5703125" style="1" customWidth="1"/>
    <col min="4050" max="4050" width="15.85546875" style="1" customWidth="1"/>
    <col min="4051" max="4051" width="11.28515625" style="1" customWidth="1"/>
    <col min="4052" max="4296" width="9.140625" style="1"/>
    <col min="4297" max="4297" width="8.42578125" style="1" customWidth="1"/>
    <col min="4298" max="4298" width="62.5703125" style="1" customWidth="1"/>
    <col min="4299" max="4299" width="21" style="1" customWidth="1"/>
    <col min="4300" max="4300" width="15.42578125" style="1" customWidth="1"/>
    <col min="4301" max="4301" width="18.28515625" style="1" customWidth="1"/>
    <col min="4302" max="4305" width="16.5703125" style="1" customWidth="1"/>
    <col min="4306" max="4306" width="15.85546875" style="1" customWidth="1"/>
    <col min="4307" max="4307" width="11.28515625" style="1" customWidth="1"/>
    <col min="4308" max="4552" width="9.140625" style="1"/>
    <col min="4553" max="4553" width="8.42578125" style="1" customWidth="1"/>
    <col min="4554" max="4554" width="62.5703125" style="1" customWidth="1"/>
    <col min="4555" max="4555" width="21" style="1" customWidth="1"/>
    <col min="4556" max="4556" width="15.42578125" style="1" customWidth="1"/>
    <col min="4557" max="4557" width="18.28515625" style="1" customWidth="1"/>
    <col min="4558" max="4561" width="16.5703125" style="1" customWidth="1"/>
    <col min="4562" max="4562" width="15.85546875" style="1" customWidth="1"/>
    <col min="4563" max="4563" width="11.28515625" style="1" customWidth="1"/>
    <col min="4564" max="4808" width="9.140625" style="1"/>
    <col min="4809" max="4809" width="8.42578125" style="1" customWidth="1"/>
    <col min="4810" max="4810" width="62.5703125" style="1" customWidth="1"/>
    <col min="4811" max="4811" width="21" style="1" customWidth="1"/>
    <col min="4812" max="4812" width="15.42578125" style="1" customWidth="1"/>
    <col min="4813" max="4813" width="18.28515625" style="1" customWidth="1"/>
    <col min="4814" max="4817" width="16.5703125" style="1" customWidth="1"/>
    <col min="4818" max="4818" width="15.85546875" style="1" customWidth="1"/>
    <col min="4819" max="4819" width="11.28515625" style="1" customWidth="1"/>
    <col min="4820" max="5064" width="9.140625" style="1"/>
    <col min="5065" max="5065" width="8.42578125" style="1" customWidth="1"/>
    <col min="5066" max="5066" width="62.5703125" style="1" customWidth="1"/>
    <col min="5067" max="5067" width="21" style="1" customWidth="1"/>
    <col min="5068" max="5068" width="15.42578125" style="1" customWidth="1"/>
    <col min="5069" max="5069" width="18.28515625" style="1" customWidth="1"/>
    <col min="5070" max="5073" width="16.5703125" style="1" customWidth="1"/>
    <col min="5074" max="5074" width="15.85546875" style="1" customWidth="1"/>
    <col min="5075" max="5075" width="11.28515625" style="1" customWidth="1"/>
    <col min="5076" max="5320" width="9.140625" style="1"/>
    <col min="5321" max="5321" width="8.42578125" style="1" customWidth="1"/>
    <col min="5322" max="5322" width="62.5703125" style="1" customWidth="1"/>
    <col min="5323" max="5323" width="21" style="1" customWidth="1"/>
    <col min="5324" max="5324" width="15.42578125" style="1" customWidth="1"/>
    <col min="5325" max="5325" width="18.28515625" style="1" customWidth="1"/>
    <col min="5326" max="5329" width="16.5703125" style="1" customWidth="1"/>
    <col min="5330" max="5330" width="15.85546875" style="1" customWidth="1"/>
    <col min="5331" max="5331" width="11.28515625" style="1" customWidth="1"/>
    <col min="5332" max="5576" width="9.140625" style="1"/>
    <col min="5577" max="5577" width="8.42578125" style="1" customWidth="1"/>
    <col min="5578" max="5578" width="62.5703125" style="1" customWidth="1"/>
    <col min="5579" max="5579" width="21" style="1" customWidth="1"/>
    <col min="5580" max="5580" width="15.42578125" style="1" customWidth="1"/>
    <col min="5581" max="5581" width="18.28515625" style="1" customWidth="1"/>
    <col min="5582" max="5585" width="16.5703125" style="1" customWidth="1"/>
    <col min="5586" max="5586" width="15.85546875" style="1" customWidth="1"/>
    <col min="5587" max="5587" width="11.28515625" style="1" customWidth="1"/>
    <col min="5588" max="5832" width="9.140625" style="1"/>
    <col min="5833" max="5833" width="8.42578125" style="1" customWidth="1"/>
    <col min="5834" max="5834" width="62.5703125" style="1" customWidth="1"/>
    <col min="5835" max="5835" width="21" style="1" customWidth="1"/>
    <col min="5836" max="5836" width="15.42578125" style="1" customWidth="1"/>
    <col min="5837" max="5837" width="18.28515625" style="1" customWidth="1"/>
    <col min="5838" max="5841" width="16.5703125" style="1" customWidth="1"/>
    <col min="5842" max="5842" width="15.85546875" style="1" customWidth="1"/>
    <col min="5843" max="5843" width="11.28515625" style="1" customWidth="1"/>
    <col min="5844" max="6088" width="9.140625" style="1"/>
    <col min="6089" max="6089" width="8.42578125" style="1" customWidth="1"/>
    <col min="6090" max="6090" width="62.5703125" style="1" customWidth="1"/>
    <col min="6091" max="6091" width="21" style="1" customWidth="1"/>
    <col min="6092" max="6092" width="15.42578125" style="1" customWidth="1"/>
    <col min="6093" max="6093" width="18.28515625" style="1" customWidth="1"/>
    <col min="6094" max="6097" width="16.5703125" style="1" customWidth="1"/>
    <col min="6098" max="6098" width="15.85546875" style="1" customWidth="1"/>
    <col min="6099" max="6099" width="11.28515625" style="1" customWidth="1"/>
    <col min="6100" max="6344" width="9.140625" style="1"/>
    <col min="6345" max="6345" width="8.42578125" style="1" customWidth="1"/>
    <col min="6346" max="6346" width="62.5703125" style="1" customWidth="1"/>
    <col min="6347" max="6347" width="21" style="1" customWidth="1"/>
    <col min="6348" max="6348" width="15.42578125" style="1" customWidth="1"/>
    <col min="6349" max="6349" width="18.28515625" style="1" customWidth="1"/>
    <col min="6350" max="6353" width="16.5703125" style="1" customWidth="1"/>
    <col min="6354" max="6354" width="15.85546875" style="1" customWidth="1"/>
    <col min="6355" max="6355" width="11.28515625" style="1" customWidth="1"/>
    <col min="6356" max="6600" width="9.140625" style="1"/>
    <col min="6601" max="6601" width="8.42578125" style="1" customWidth="1"/>
    <col min="6602" max="6602" width="62.5703125" style="1" customWidth="1"/>
    <col min="6603" max="6603" width="21" style="1" customWidth="1"/>
    <col min="6604" max="6604" width="15.42578125" style="1" customWidth="1"/>
    <col min="6605" max="6605" width="18.28515625" style="1" customWidth="1"/>
    <col min="6606" max="6609" width="16.5703125" style="1" customWidth="1"/>
    <col min="6610" max="6610" width="15.85546875" style="1" customWidth="1"/>
    <col min="6611" max="6611" width="11.28515625" style="1" customWidth="1"/>
    <col min="6612" max="6856" width="9.140625" style="1"/>
    <col min="6857" max="6857" width="8.42578125" style="1" customWidth="1"/>
    <col min="6858" max="6858" width="62.5703125" style="1" customWidth="1"/>
    <col min="6859" max="6859" width="21" style="1" customWidth="1"/>
    <col min="6860" max="6860" width="15.42578125" style="1" customWidth="1"/>
    <col min="6861" max="6861" width="18.28515625" style="1" customWidth="1"/>
    <col min="6862" max="6865" width="16.5703125" style="1" customWidth="1"/>
    <col min="6866" max="6866" width="15.85546875" style="1" customWidth="1"/>
    <col min="6867" max="6867" width="11.28515625" style="1" customWidth="1"/>
    <col min="6868" max="7112" width="9.140625" style="1"/>
    <col min="7113" max="7113" width="8.42578125" style="1" customWidth="1"/>
    <col min="7114" max="7114" width="62.5703125" style="1" customWidth="1"/>
    <col min="7115" max="7115" width="21" style="1" customWidth="1"/>
    <col min="7116" max="7116" width="15.42578125" style="1" customWidth="1"/>
    <col min="7117" max="7117" width="18.28515625" style="1" customWidth="1"/>
    <col min="7118" max="7121" width="16.5703125" style="1" customWidth="1"/>
    <col min="7122" max="7122" width="15.85546875" style="1" customWidth="1"/>
    <col min="7123" max="7123" width="11.28515625" style="1" customWidth="1"/>
    <col min="7124" max="7368" width="9.140625" style="1"/>
    <col min="7369" max="7369" width="8.42578125" style="1" customWidth="1"/>
    <col min="7370" max="7370" width="62.5703125" style="1" customWidth="1"/>
    <col min="7371" max="7371" width="21" style="1" customWidth="1"/>
    <col min="7372" max="7372" width="15.42578125" style="1" customWidth="1"/>
    <col min="7373" max="7373" width="18.28515625" style="1" customWidth="1"/>
    <col min="7374" max="7377" width="16.5703125" style="1" customWidth="1"/>
    <col min="7378" max="7378" width="15.85546875" style="1" customWidth="1"/>
    <col min="7379" max="7379" width="11.28515625" style="1" customWidth="1"/>
    <col min="7380" max="7624" width="9.140625" style="1"/>
    <col min="7625" max="7625" width="8.42578125" style="1" customWidth="1"/>
    <col min="7626" max="7626" width="62.5703125" style="1" customWidth="1"/>
    <col min="7627" max="7627" width="21" style="1" customWidth="1"/>
    <col min="7628" max="7628" width="15.42578125" style="1" customWidth="1"/>
    <col min="7629" max="7629" width="18.28515625" style="1" customWidth="1"/>
    <col min="7630" max="7633" width="16.5703125" style="1" customWidth="1"/>
    <col min="7634" max="7634" width="15.85546875" style="1" customWidth="1"/>
    <col min="7635" max="7635" width="11.28515625" style="1" customWidth="1"/>
    <col min="7636" max="7880" width="9.140625" style="1"/>
    <col min="7881" max="7881" width="8.42578125" style="1" customWidth="1"/>
    <col min="7882" max="7882" width="62.5703125" style="1" customWidth="1"/>
    <col min="7883" max="7883" width="21" style="1" customWidth="1"/>
    <col min="7884" max="7884" width="15.42578125" style="1" customWidth="1"/>
    <col min="7885" max="7885" width="18.28515625" style="1" customWidth="1"/>
    <col min="7886" max="7889" width="16.5703125" style="1" customWidth="1"/>
    <col min="7890" max="7890" width="15.85546875" style="1" customWidth="1"/>
    <col min="7891" max="7891" width="11.28515625" style="1" customWidth="1"/>
    <col min="7892" max="8136" width="9.140625" style="1"/>
    <col min="8137" max="8137" width="8.42578125" style="1" customWidth="1"/>
    <col min="8138" max="8138" width="62.5703125" style="1" customWidth="1"/>
    <col min="8139" max="8139" width="21" style="1" customWidth="1"/>
    <col min="8140" max="8140" width="15.42578125" style="1" customWidth="1"/>
    <col min="8141" max="8141" width="18.28515625" style="1" customWidth="1"/>
    <col min="8142" max="8145" width="16.5703125" style="1" customWidth="1"/>
    <col min="8146" max="8146" width="15.85546875" style="1" customWidth="1"/>
    <col min="8147" max="8147" width="11.28515625" style="1" customWidth="1"/>
    <col min="8148" max="8392" width="9.140625" style="1"/>
    <col min="8393" max="8393" width="8.42578125" style="1" customWidth="1"/>
    <col min="8394" max="8394" width="62.5703125" style="1" customWidth="1"/>
    <col min="8395" max="8395" width="21" style="1" customWidth="1"/>
    <col min="8396" max="8396" width="15.42578125" style="1" customWidth="1"/>
    <col min="8397" max="8397" width="18.28515625" style="1" customWidth="1"/>
    <col min="8398" max="8401" width="16.5703125" style="1" customWidth="1"/>
    <col min="8402" max="8402" width="15.85546875" style="1" customWidth="1"/>
    <col min="8403" max="8403" width="11.28515625" style="1" customWidth="1"/>
    <col min="8404" max="8648" width="9.140625" style="1"/>
    <col min="8649" max="8649" width="8.42578125" style="1" customWidth="1"/>
    <col min="8650" max="8650" width="62.5703125" style="1" customWidth="1"/>
    <col min="8651" max="8651" width="21" style="1" customWidth="1"/>
    <col min="8652" max="8652" width="15.42578125" style="1" customWidth="1"/>
    <col min="8653" max="8653" width="18.28515625" style="1" customWidth="1"/>
    <col min="8654" max="8657" width="16.5703125" style="1" customWidth="1"/>
    <col min="8658" max="8658" width="15.85546875" style="1" customWidth="1"/>
    <col min="8659" max="8659" width="11.28515625" style="1" customWidth="1"/>
    <col min="8660" max="8904" width="9.140625" style="1"/>
    <col min="8905" max="8905" width="8.42578125" style="1" customWidth="1"/>
    <col min="8906" max="8906" width="62.5703125" style="1" customWidth="1"/>
    <col min="8907" max="8907" width="21" style="1" customWidth="1"/>
    <col min="8908" max="8908" width="15.42578125" style="1" customWidth="1"/>
    <col min="8909" max="8909" width="18.28515625" style="1" customWidth="1"/>
    <col min="8910" max="8913" width="16.5703125" style="1" customWidth="1"/>
    <col min="8914" max="8914" width="15.85546875" style="1" customWidth="1"/>
    <col min="8915" max="8915" width="11.28515625" style="1" customWidth="1"/>
    <col min="8916" max="9160" width="9.140625" style="1"/>
    <col min="9161" max="9161" width="8.42578125" style="1" customWidth="1"/>
    <col min="9162" max="9162" width="62.5703125" style="1" customWidth="1"/>
    <col min="9163" max="9163" width="21" style="1" customWidth="1"/>
    <col min="9164" max="9164" width="15.42578125" style="1" customWidth="1"/>
    <col min="9165" max="9165" width="18.28515625" style="1" customWidth="1"/>
    <col min="9166" max="9169" width="16.5703125" style="1" customWidth="1"/>
    <col min="9170" max="9170" width="15.85546875" style="1" customWidth="1"/>
    <col min="9171" max="9171" width="11.28515625" style="1" customWidth="1"/>
    <col min="9172" max="9416" width="9.140625" style="1"/>
    <col min="9417" max="9417" width="8.42578125" style="1" customWidth="1"/>
    <col min="9418" max="9418" width="62.5703125" style="1" customWidth="1"/>
    <col min="9419" max="9419" width="21" style="1" customWidth="1"/>
    <col min="9420" max="9420" width="15.42578125" style="1" customWidth="1"/>
    <col min="9421" max="9421" width="18.28515625" style="1" customWidth="1"/>
    <col min="9422" max="9425" width="16.5703125" style="1" customWidth="1"/>
    <col min="9426" max="9426" width="15.85546875" style="1" customWidth="1"/>
    <col min="9427" max="9427" width="11.28515625" style="1" customWidth="1"/>
    <col min="9428" max="9672" width="9.140625" style="1"/>
    <col min="9673" max="9673" width="8.42578125" style="1" customWidth="1"/>
    <col min="9674" max="9674" width="62.5703125" style="1" customWidth="1"/>
    <col min="9675" max="9675" width="21" style="1" customWidth="1"/>
    <col min="9676" max="9676" width="15.42578125" style="1" customWidth="1"/>
    <col min="9677" max="9677" width="18.28515625" style="1" customWidth="1"/>
    <col min="9678" max="9681" width="16.5703125" style="1" customWidth="1"/>
    <col min="9682" max="9682" width="15.85546875" style="1" customWidth="1"/>
    <col min="9683" max="9683" width="11.28515625" style="1" customWidth="1"/>
    <col min="9684" max="9928" width="9.140625" style="1"/>
    <col min="9929" max="9929" width="8.42578125" style="1" customWidth="1"/>
    <col min="9930" max="9930" width="62.5703125" style="1" customWidth="1"/>
    <col min="9931" max="9931" width="21" style="1" customWidth="1"/>
    <col min="9932" max="9932" width="15.42578125" style="1" customWidth="1"/>
    <col min="9933" max="9933" width="18.28515625" style="1" customWidth="1"/>
    <col min="9934" max="9937" width="16.5703125" style="1" customWidth="1"/>
    <col min="9938" max="9938" width="15.85546875" style="1" customWidth="1"/>
    <col min="9939" max="9939" width="11.28515625" style="1" customWidth="1"/>
    <col min="9940" max="10184" width="9.140625" style="1"/>
    <col min="10185" max="10185" width="8.42578125" style="1" customWidth="1"/>
    <col min="10186" max="10186" width="62.5703125" style="1" customWidth="1"/>
    <col min="10187" max="10187" width="21" style="1" customWidth="1"/>
    <col min="10188" max="10188" width="15.42578125" style="1" customWidth="1"/>
    <col min="10189" max="10189" width="18.28515625" style="1" customWidth="1"/>
    <col min="10190" max="10193" width="16.5703125" style="1" customWidth="1"/>
    <col min="10194" max="10194" width="15.85546875" style="1" customWidth="1"/>
    <col min="10195" max="10195" width="11.28515625" style="1" customWidth="1"/>
    <col min="10196" max="10440" width="9.140625" style="1"/>
    <col min="10441" max="10441" width="8.42578125" style="1" customWidth="1"/>
    <col min="10442" max="10442" width="62.5703125" style="1" customWidth="1"/>
    <col min="10443" max="10443" width="21" style="1" customWidth="1"/>
    <col min="10444" max="10444" width="15.42578125" style="1" customWidth="1"/>
    <col min="10445" max="10445" width="18.28515625" style="1" customWidth="1"/>
    <col min="10446" max="10449" width="16.5703125" style="1" customWidth="1"/>
    <col min="10450" max="10450" width="15.85546875" style="1" customWidth="1"/>
    <col min="10451" max="10451" width="11.28515625" style="1" customWidth="1"/>
    <col min="10452" max="10696" width="9.140625" style="1"/>
    <col min="10697" max="10697" width="8.42578125" style="1" customWidth="1"/>
    <col min="10698" max="10698" width="62.5703125" style="1" customWidth="1"/>
    <col min="10699" max="10699" width="21" style="1" customWidth="1"/>
    <col min="10700" max="10700" width="15.42578125" style="1" customWidth="1"/>
    <col min="10701" max="10701" width="18.28515625" style="1" customWidth="1"/>
    <col min="10702" max="10705" width="16.5703125" style="1" customWidth="1"/>
    <col min="10706" max="10706" width="15.85546875" style="1" customWidth="1"/>
    <col min="10707" max="10707" width="11.28515625" style="1" customWidth="1"/>
    <col min="10708" max="10952" width="9.140625" style="1"/>
    <col min="10953" max="10953" width="8.42578125" style="1" customWidth="1"/>
    <col min="10954" max="10954" width="62.5703125" style="1" customWidth="1"/>
    <col min="10955" max="10955" width="21" style="1" customWidth="1"/>
    <col min="10956" max="10956" width="15.42578125" style="1" customWidth="1"/>
    <col min="10957" max="10957" width="18.28515625" style="1" customWidth="1"/>
    <col min="10958" max="10961" width="16.5703125" style="1" customWidth="1"/>
    <col min="10962" max="10962" width="15.85546875" style="1" customWidth="1"/>
    <col min="10963" max="10963" width="11.28515625" style="1" customWidth="1"/>
    <col min="10964" max="11208" width="9.140625" style="1"/>
    <col min="11209" max="11209" width="8.42578125" style="1" customWidth="1"/>
    <col min="11210" max="11210" width="62.5703125" style="1" customWidth="1"/>
    <col min="11211" max="11211" width="21" style="1" customWidth="1"/>
    <col min="11212" max="11212" width="15.42578125" style="1" customWidth="1"/>
    <col min="11213" max="11213" width="18.28515625" style="1" customWidth="1"/>
    <col min="11214" max="11217" width="16.5703125" style="1" customWidth="1"/>
    <col min="11218" max="11218" width="15.85546875" style="1" customWidth="1"/>
    <col min="11219" max="11219" width="11.28515625" style="1" customWidth="1"/>
    <col min="11220" max="11464" width="9.140625" style="1"/>
    <col min="11465" max="11465" width="8.42578125" style="1" customWidth="1"/>
    <col min="11466" max="11466" width="62.5703125" style="1" customWidth="1"/>
    <col min="11467" max="11467" width="21" style="1" customWidth="1"/>
    <col min="11468" max="11468" width="15.42578125" style="1" customWidth="1"/>
    <col min="11469" max="11469" width="18.28515625" style="1" customWidth="1"/>
    <col min="11470" max="11473" width="16.5703125" style="1" customWidth="1"/>
    <col min="11474" max="11474" width="15.85546875" style="1" customWidth="1"/>
    <col min="11475" max="11475" width="11.28515625" style="1" customWidth="1"/>
    <col min="11476" max="11720" width="9.140625" style="1"/>
    <col min="11721" max="11721" width="8.42578125" style="1" customWidth="1"/>
    <col min="11722" max="11722" width="62.5703125" style="1" customWidth="1"/>
    <col min="11723" max="11723" width="21" style="1" customWidth="1"/>
    <col min="11724" max="11724" width="15.42578125" style="1" customWidth="1"/>
    <col min="11725" max="11725" width="18.28515625" style="1" customWidth="1"/>
    <col min="11726" max="11729" width="16.5703125" style="1" customWidth="1"/>
    <col min="11730" max="11730" width="15.85546875" style="1" customWidth="1"/>
    <col min="11731" max="11731" width="11.28515625" style="1" customWidth="1"/>
    <col min="11732" max="11976" width="9.140625" style="1"/>
    <col min="11977" max="11977" width="8.42578125" style="1" customWidth="1"/>
    <col min="11978" max="11978" width="62.5703125" style="1" customWidth="1"/>
    <col min="11979" max="11979" width="21" style="1" customWidth="1"/>
    <col min="11980" max="11980" width="15.42578125" style="1" customWidth="1"/>
    <col min="11981" max="11981" width="18.28515625" style="1" customWidth="1"/>
    <col min="11982" max="11985" width="16.5703125" style="1" customWidth="1"/>
    <col min="11986" max="11986" width="15.85546875" style="1" customWidth="1"/>
    <col min="11987" max="11987" width="11.28515625" style="1" customWidth="1"/>
    <col min="11988" max="12232" width="9.140625" style="1"/>
    <col min="12233" max="12233" width="8.42578125" style="1" customWidth="1"/>
    <col min="12234" max="12234" width="62.5703125" style="1" customWidth="1"/>
    <col min="12235" max="12235" width="21" style="1" customWidth="1"/>
    <col min="12236" max="12236" width="15.42578125" style="1" customWidth="1"/>
    <col min="12237" max="12237" width="18.28515625" style="1" customWidth="1"/>
    <col min="12238" max="12241" width="16.5703125" style="1" customWidth="1"/>
    <col min="12242" max="12242" width="15.85546875" style="1" customWidth="1"/>
    <col min="12243" max="12243" width="11.28515625" style="1" customWidth="1"/>
    <col min="12244" max="12488" width="9.140625" style="1"/>
    <col min="12489" max="12489" width="8.42578125" style="1" customWidth="1"/>
    <col min="12490" max="12490" width="62.5703125" style="1" customWidth="1"/>
    <col min="12491" max="12491" width="21" style="1" customWidth="1"/>
    <col min="12492" max="12492" width="15.42578125" style="1" customWidth="1"/>
    <col min="12493" max="12493" width="18.28515625" style="1" customWidth="1"/>
    <col min="12494" max="12497" width="16.5703125" style="1" customWidth="1"/>
    <col min="12498" max="12498" width="15.85546875" style="1" customWidth="1"/>
    <col min="12499" max="12499" width="11.28515625" style="1" customWidth="1"/>
    <col min="12500" max="12744" width="9.140625" style="1"/>
    <col min="12745" max="12745" width="8.42578125" style="1" customWidth="1"/>
    <col min="12746" max="12746" width="62.5703125" style="1" customWidth="1"/>
    <col min="12747" max="12747" width="21" style="1" customWidth="1"/>
    <col min="12748" max="12748" width="15.42578125" style="1" customWidth="1"/>
    <col min="12749" max="12749" width="18.28515625" style="1" customWidth="1"/>
    <col min="12750" max="12753" width="16.5703125" style="1" customWidth="1"/>
    <col min="12754" max="12754" width="15.85546875" style="1" customWidth="1"/>
    <col min="12755" max="12755" width="11.28515625" style="1" customWidth="1"/>
    <col min="12756" max="13000" width="9.140625" style="1"/>
    <col min="13001" max="13001" width="8.42578125" style="1" customWidth="1"/>
    <col min="13002" max="13002" width="62.5703125" style="1" customWidth="1"/>
    <col min="13003" max="13003" width="21" style="1" customWidth="1"/>
    <col min="13004" max="13004" width="15.42578125" style="1" customWidth="1"/>
    <col min="13005" max="13005" width="18.28515625" style="1" customWidth="1"/>
    <col min="13006" max="13009" width="16.5703125" style="1" customWidth="1"/>
    <col min="13010" max="13010" width="15.85546875" style="1" customWidth="1"/>
    <col min="13011" max="13011" width="11.28515625" style="1" customWidth="1"/>
    <col min="13012" max="13256" width="9.140625" style="1"/>
    <col min="13257" max="13257" width="8.42578125" style="1" customWidth="1"/>
    <col min="13258" max="13258" width="62.5703125" style="1" customWidth="1"/>
    <col min="13259" max="13259" width="21" style="1" customWidth="1"/>
    <col min="13260" max="13260" width="15.42578125" style="1" customWidth="1"/>
    <col min="13261" max="13261" width="18.28515625" style="1" customWidth="1"/>
    <col min="13262" max="13265" width="16.5703125" style="1" customWidth="1"/>
    <col min="13266" max="13266" width="15.85546875" style="1" customWidth="1"/>
    <col min="13267" max="13267" width="11.28515625" style="1" customWidth="1"/>
    <col min="13268" max="13512" width="9.140625" style="1"/>
    <col min="13513" max="13513" width="8.42578125" style="1" customWidth="1"/>
    <col min="13514" max="13514" width="62.5703125" style="1" customWidth="1"/>
    <col min="13515" max="13515" width="21" style="1" customWidth="1"/>
    <col min="13516" max="13516" width="15.42578125" style="1" customWidth="1"/>
    <col min="13517" max="13517" width="18.28515625" style="1" customWidth="1"/>
    <col min="13518" max="13521" width="16.5703125" style="1" customWidth="1"/>
    <col min="13522" max="13522" width="15.85546875" style="1" customWidth="1"/>
    <col min="13523" max="13523" width="11.28515625" style="1" customWidth="1"/>
    <col min="13524" max="13768" width="9.140625" style="1"/>
    <col min="13769" max="13769" width="8.42578125" style="1" customWidth="1"/>
    <col min="13770" max="13770" width="62.5703125" style="1" customWidth="1"/>
    <col min="13771" max="13771" width="21" style="1" customWidth="1"/>
    <col min="13772" max="13772" width="15.42578125" style="1" customWidth="1"/>
    <col min="13773" max="13773" width="18.28515625" style="1" customWidth="1"/>
    <col min="13774" max="13777" width="16.5703125" style="1" customWidth="1"/>
    <col min="13778" max="13778" width="15.85546875" style="1" customWidth="1"/>
    <col min="13779" max="13779" width="11.28515625" style="1" customWidth="1"/>
    <col min="13780" max="14024" width="9.140625" style="1"/>
    <col min="14025" max="14025" width="8.42578125" style="1" customWidth="1"/>
    <col min="14026" max="14026" width="62.5703125" style="1" customWidth="1"/>
    <col min="14027" max="14027" width="21" style="1" customWidth="1"/>
    <col min="14028" max="14028" width="15.42578125" style="1" customWidth="1"/>
    <col min="14029" max="14029" width="18.28515625" style="1" customWidth="1"/>
    <col min="14030" max="14033" width="16.5703125" style="1" customWidth="1"/>
    <col min="14034" max="14034" width="15.85546875" style="1" customWidth="1"/>
    <col min="14035" max="14035" width="11.28515625" style="1" customWidth="1"/>
    <col min="14036" max="14280" width="9.140625" style="1"/>
    <col min="14281" max="14281" width="8.42578125" style="1" customWidth="1"/>
    <col min="14282" max="14282" width="62.5703125" style="1" customWidth="1"/>
    <col min="14283" max="14283" width="21" style="1" customWidth="1"/>
    <col min="14284" max="14284" width="15.42578125" style="1" customWidth="1"/>
    <col min="14285" max="14285" width="18.28515625" style="1" customWidth="1"/>
    <col min="14286" max="14289" width="16.5703125" style="1" customWidth="1"/>
    <col min="14290" max="14290" width="15.85546875" style="1" customWidth="1"/>
    <col min="14291" max="14291" width="11.28515625" style="1" customWidth="1"/>
    <col min="14292" max="14536" width="9.140625" style="1"/>
    <col min="14537" max="14537" width="8.42578125" style="1" customWidth="1"/>
    <col min="14538" max="14538" width="62.5703125" style="1" customWidth="1"/>
    <col min="14539" max="14539" width="21" style="1" customWidth="1"/>
    <col min="14540" max="14540" width="15.42578125" style="1" customWidth="1"/>
    <col min="14541" max="14541" width="18.28515625" style="1" customWidth="1"/>
    <col min="14542" max="14545" width="16.5703125" style="1" customWidth="1"/>
    <col min="14546" max="14546" width="15.85546875" style="1" customWidth="1"/>
    <col min="14547" max="14547" width="11.28515625" style="1" customWidth="1"/>
    <col min="14548" max="14792" width="9.140625" style="1"/>
    <col min="14793" max="14793" width="8.42578125" style="1" customWidth="1"/>
    <col min="14794" max="14794" width="62.5703125" style="1" customWidth="1"/>
    <col min="14795" max="14795" width="21" style="1" customWidth="1"/>
    <col min="14796" max="14796" width="15.42578125" style="1" customWidth="1"/>
    <col min="14797" max="14797" width="18.28515625" style="1" customWidth="1"/>
    <col min="14798" max="14801" width="16.5703125" style="1" customWidth="1"/>
    <col min="14802" max="14802" width="15.85546875" style="1" customWidth="1"/>
    <col min="14803" max="14803" width="11.28515625" style="1" customWidth="1"/>
    <col min="14804" max="15048" width="9.140625" style="1"/>
    <col min="15049" max="15049" width="8.42578125" style="1" customWidth="1"/>
    <col min="15050" max="15050" width="62.5703125" style="1" customWidth="1"/>
    <col min="15051" max="15051" width="21" style="1" customWidth="1"/>
    <col min="15052" max="15052" width="15.42578125" style="1" customWidth="1"/>
    <col min="15053" max="15053" width="18.28515625" style="1" customWidth="1"/>
    <col min="15054" max="15057" width="16.5703125" style="1" customWidth="1"/>
    <col min="15058" max="15058" width="15.85546875" style="1" customWidth="1"/>
    <col min="15059" max="15059" width="11.28515625" style="1" customWidth="1"/>
    <col min="15060" max="15304" width="9.140625" style="1"/>
    <col min="15305" max="15305" width="8.42578125" style="1" customWidth="1"/>
    <col min="15306" max="15306" width="62.5703125" style="1" customWidth="1"/>
    <col min="15307" max="15307" width="21" style="1" customWidth="1"/>
    <col min="15308" max="15308" width="15.42578125" style="1" customWidth="1"/>
    <col min="15309" max="15309" width="18.28515625" style="1" customWidth="1"/>
    <col min="15310" max="15313" width="16.5703125" style="1" customWidth="1"/>
    <col min="15314" max="15314" width="15.85546875" style="1" customWidth="1"/>
    <col min="15315" max="15315" width="11.28515625" style="1" customWidth="1"/>
    <col min="15316" max="15560" width="9.140625" style="1"/>
    <col min="15561" max="15561" width="8.42578125" style="1" customWidth="1"/>
    <col min="15562" max="15562" width="62.5703125" style="1" customWidth="1"/>
    <col min="15563" max="15563" width="21" style="1" customWidth="1"/>
    <col min="15564" max="15564" width="15.42578125" style="1" customWidth="1"/>
    <col min="15565" max="15565" width="18.28515625" style="1" customWidth="1"/>
    <col min="15566" max="15569" width="16.5703125" style="1" customWidth="1"/>
    <col min="15570" max="15570" width="15.85546875" style="1" customWidth="1"/>
    <col min="15571" max="15571" width="11.28515625" style="1" customWidth="1"/>
    <col min="15572" max="15816" width="9.140625" style="1"/>
    <col min="15817" max="15817" width="8.42578125" style="1" customWidth="1"/>
    <col min="15818" max="15818" width="62.5703125" style="1" customWidth="1"/>
    <col min="15819" max="15819" width="21" style="1" customWidth="1"/>
    <col min="15820" max="15820" width="15.42578125" style="1" customWidth="1"/>
    <col min="15821" max="15821" width="18.28515625" style="1" customWidth="1"/>
    <col min="15822" max="15825" width="16.5703125" style="1" customWidth="1"/>
    <col min="15826" max="15826" width="15.85546875" style="1" customWidth="1"/>
    <col min="15827" max="15827" width="11.28515625" style="1" customWidth="1"/>
    <col min="15828" max="16072" width="9.140625" style="1"/>
    <col min="16073" max="16073" width="8.42578125" style="1" customWidth="1"/>
    <col min="16074" max="16074" width="62.5703125" style="1" customWidth="1"/>
    <col min="16075" max="16075" width="21" style="1" customWidth="1"/>
    <col min="16076" max="16076" width="15.42578125" style="1" customWidth="1"/>
    <col min="16077" max="16077" width="18.28515625" style="1" customWidth="1"/>
    <col min="16078" max="16081" width="16.5703125" style="1" customWidth="1"/>
    <col min="16082" max="16082" width="15.85546875" style="1" customWidth="1"/>
    <col min="16083" max="16083" width="11.28515625" style="1" customWidth="1"/>
    <col min="16084" max="16384" width="9.140625" style="1"/>
  </cols>
  <sheetData>
    <row r="1" spans="1:14" ht="53.25" customHeight="1" outlineLevel="1" x14ac:dyDescent="0.25">
      <c r="A1" s="81"/>
      <c r="B1" s="82"/>
      <c r="C1" s="83"/>
      <c r="D1" s="83"/>
      <c r="E1" s="83"/>
      <c r="F1" s="84"/>
      <c r="G1" s="85"/>
      <c r="H1" s="86"/>
      <c r="I1" s="86"/>
      <c r="J1" s="87"/>
      <c r="K1" s="87"/>
      <c r="L1" s="87"/>
      <c r="M1" s="88"/>
      <c r="N1" s="105"/>
    </row>
    <row r="2" spans="1:14" x14ac:dyDescent="0.25">
      <c r="A2" s="219"/>
      <c r="B2" s="89"/>
      <c r="C2" s="70"/>
      <c r="D2" s="70"/>
      <c r="E2" s="70"/>
      <c r="F2" s="71"/>
      <c r="G2" s="71"/>
      <c r="H2" s="90"/>
      <c r="I2" s="90"/>
      <c r="J2" s="90"/>
      <c r="K2" s="90"/>
      <c r="L2" s="90"/>
      <c r="M2" s="91"/>
      <c r="N2" s="90"/>
    </row>
    <row r="3" spans="1:14" ht="18.75" x14ac:dyDescent="0.25">
      <c r="A3" s="219"/>
      <c r="B3" s="89"/>
      <c r="C3" s="70"/>
      <c r="D3" s="92"/>
      <c r="E3" s="92"/>
      <c r="F3" s="93" t="s">
        <v>598</v>
      </c>
      <c r="G3" s="71"/>
      <c r="H3" s="90"/>
      <c r="I3" s="90"/>
      <c r="J3" s="90"/>
      <c r="K3" s="90"/>
      <c r="L3" s="90"/>
      <c r="M3" s="90"/>
      <c r="N3" s="90"/>
    </row>
    <row r="4" spans="1:14" ht="18.75" x14ac:dyDescent="0.25">
      <c r="A4" s="219"/>
      <c r="B4" s="89"/>
      <c r="C4" s="70"/>
      <c r="D4" s="94"/>
      <c r="E4" s="94"/>
      <c r="F4" s="93" t="s">
        <v>603</v>
      </c>
      <c r="G4" s="71"/>
      <c r="H4" s="90"/>
      <c r="I4" s="90"/>
      <c r="J4" s="90"/>
      <c r="K4" s="90"/>
      <c r="L4" s="90"/>
      <c r="M4" s="90"/>
      <c r="N4" s="90"/>
    </row>
    <row r="5" spans="1:14" ht="18.75" x14ac:dyDescent="0.25">
      <c r="A5" s="219"/>
      <c r="B5" s="89"/>
      <c r="C5" s="70"/>
      <c r="D5" s="70"/>
      <c r="E5" s="70"/>
      <c r="F5" s="95" t="s">
        <v>599</v>
      </c>
      <c r="G5" s="71"/>
      <c r="H5" s="90"/>
      <c r="I5" s="90"/>
      <c r="J5" s="90"/>
      <c r="K5" s="90"/>
      <c r="L5" s="90"/>
      <c r="M5" s="90"/>
      <c r="N5" s="90"/>
    </row>
    <row r="6" spans="1:14" ht="18.75" x14ac:dyDescent="0.25">
      <c r="A6" s="219"/>
      <c r="B6" s="89"/>
      <c r="C6" s="70"/>
      <c r="D6" s="94"/>
      <c r="E6" s="94"/>
      <c r="F6" s="96" t="s">
        <v>600</v>
      </c>
      <c r="G6" s="71"/>
      <c r="H6" s="90"/>
      <c r="I6" s="90"/>
      <c r="J6" s="90"/>
      <c r="K6" s="90"/>
      <c r="L6" s="90"/>
      <c r="M6" s="90"/>
      <c r="N6" s="90"/>
    </row>
    <row r="7" spans="1:14" ht="18.75" x14ac:dyDescent="0.25">
      <c r="A7" s="219"/>
      <c r="B7" s="89"/>
      <c r="C7" s="70"/>
      <c r="D7" s="70"/>
      <c r="E7" s="70"/>
      <c r="F7" s="95" t="s">
        <v>601</v>
      </c>
      <c r="G7" s="71"/>
      <c r="H7" s="90"/>
      <c r="I7" s="90"/>
      <c r="J7" s="90"/>
      <c r="K7" s="90"/>
      <c r="L7" s="90"/>
      <c r="M7" s="90"/>
      <c r="N7" s="90"/>
    </row>
    <row r="8" spans="1:14" ht="18.75" x14ac:dyDescent="0.25">
      <c r="A8" s="219"/>
      <c r="B8" s="89"/>
      <c r="C8" s="70"/>
      <c r="D8" s="92"/>
      <c r="E8" s="92"/>
      <c r="F8" s="96" t="s">
        <v>602</v>
      </c>
      <c r="G8" s="97"/>
      <c r="H8" s="91"/>
      <c r="I8" s="91"/>
      <c r="J8" s="91"/>
      <c r="K8" s="91"/>
      <c r="L8" s="91"/>
      <c r="M8" s="90"/>
      <c r="N8" s="90"/>
    </row>
    <row r="9" spans="1:14" ht="19.5" thickBot="1" x14ac:dyDescent="0.3">
      <c r="A9" s="219"/>
      <c r="B9" s="89"/>
      <c r="C9" s="70"/>
      <c r="D9" s="92"/>
      <c r="E9" s="98"/>
      <c r="F9" s="96"/>
      <c r="G9" s="97"/>
      <c r="H9" s="91"/>
      <c r="I9" s="91"/>
      <c r="J9" s="90"/>
      <c r="K9" s="91"/>
      <c r="L9" s="90"/>
      <c r="M9" s="91"/>
      <c r="N9" s="90"/>
    </row>
    <row r="10" spans="1:14" ht="16.5" thickBot="1" x14ac:dyDescent="0.3">
      <c r="A10" s="244" t="s">
        <v>593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6"/>
    </row>
    <row r="11" spans="1:14" ht="16.5" thickBot="1" x14ac:dyDescent="0.3">
      <c r="A11" s="247" t="s">
        <v>0</v>
      </c>
      <c r="B11" s="250" t="s">
        <v>1</v>
      </c>
      <c r="C11" s="247" t="s">
        <v>2</v>
      </c>
      <c r="D11" s="253" t="s">
        <v>590</v>
      </c>
      <c r="E11" s="250"/>
      <c r="F11" s="253" t="s">
        <v>604</v>
      </c>
      <c r="G11" s="250"/>
      <c r="H11" s="244" t="s">
        <v>3</v>
      </c>
      <c r="I11" s="245"/>
      <c r="J11" s="245"/>
      <c r="K11" s="245"/>
      <c r="L11" s="245"/>
      <c r="M11" s="245"/>
      <c r="N11" s="246"/>
    </row>
    <row r="12" spans="1:14" ht="43.5" customHeight="1" thickBot="1" x14ac:dyDescent="0.3">
      <c r="A12" s="248"/>
      <c r="B12" s="251"/>
      <c r="C12" s="248"/>
      <c r="D12" s="254"/>
      <c r="E12" s="252"/>
      <c r="F12" s="254"/>
      <c r="G12" s="252"/>
      <c r="H12" s="257" t="s">
        <v>594</v>
      </c>
      <c r="I12" s="258"/>
      <c r="J12" s="253" t="s">
        <v>595</v>
      </c>
      <c r="K12" s="250"/>
      <c r="L12" s="253" t="s">
        <v>596</v>
      </c>
      <c r="M12" s="250"/>
      <c r="N12" s="247" t="s">
        <v>4</v>
      </c>
    </row>
    <row r="13" spans="1:14" ht="63.75" thickBot="1" x14ac:dyDescent="0.3">
      <c r="A13" s="249"/>
      <c r="B13" s="252"/>
      <c r="C13" s="249"/>
      <c r="D13" s="12" t="s">
        <v>591</v>
      </c>
      <c r="E13" s="99" t="s">
        <v>592</v>
      </c>
      <c r="F13" s="72" t="s">
        <v>591</v>
      </c>
      <c r="G13" s="4" t="s">
        <v>592</v>
      </c>
      <c r="H13" s="72" t="s">
        <v>591</v>
      </c>
      <c r="I13" s="72" t="s">
        <v>592</v>
      </c>
      <c r="J13" s="10" t="s">
        <v>591</v>
      </c>
      <c r="K13" s="19" t="s">
        <v>592</v>
      </c>
      <c r="L13" s="6" t="s">
        <v>597</v>
      </c>
      <c r="M13" s="19" t="s">
        <v>592</v>
      </c>
      <c r="N13" s="249"/>
    </row>
    <row r="14" spans="1:14" ht="16.5" thickBot="1" x14ac:dyDescent="0.3">
      <c r="A14" s="12">
        <v>1</v>
      </c>
      <c r="B14" s="37">
        <v>2</v>
      </c>
      <c r="C14" s="12">
        <v>3</v>
      </c>
      <c r="D14" s="11">
        <v>4</v>
      </c>
      <c r="E14" s="100">
        <v>5</v>
      </c>
      <c r="F14" s="72">
        <v>6</v>
      </c>
      <c r="G14" s="4">
        <v>7</v>
      </c>
      <c r="H14" s="6">
        <v>8</v>
      </c>
      <c r="I14" s="14">
        <v>9</v>
      </c>
      <c r="J14" s="74">
        <v>10</v>
      </c>
      <c r="K14" s="6">
        <v>11</v>
      </c>
      <c r="L14" s="20">
        <v>12</v>
      </c>
      <c r="M14" s="6">
        <v>13</v>
      </c>
      <c r="N14" s="73">
        <v>14</v>
      </c>
    </row>
    <row r="15" spans="1:14" ht="16.5" thickBot="1" x14ac:dyDescent="0.3">
      <c r="A15" s="39"/>
      <c r="B15" s="38" t="s">
        <v>74</v>
      </c>
      <c r="C15" s="244"/>
      <c r="D15" s="245"/>
      <c r="E15" s="245"/>
      <c r="F15" s="259"/>
      <c r="G15" s="259"/>
      <c r="H15" s="259"/>
      <c r="I15" s="259"/>
      <c r="J15" s="259"/>
      <c r="K15" s="259"/>
      <c r="L15" s="259"/>
      <c r="M15" s="259"/>
      <c r="N15" s="260"/>
    </row>
    <row r="16" spans="1:14" ht="16.5" thickBot="1" x14ac:dyDescent="0.3">
      <c r="A16" s="40"/>
      <c r="B16" s="15" t="s">
        <v>11</v>
      </c>
      <c r="C16" s="50"/>
      <c r="D16" s="49"/>
      <c r="E16" s="127"/>
      <c r="F16" s="30">
        <f>H16+J16+L16</f>
        <v>13055933.44447165</v>
      </c>
      <c r="G16" s="167">
        <f>I16+K16+M16+N16</f>
        <v>12114825.290599998</v>
      </c>
      <c r="H16" s="30">
        <f t="shared" ref="H16:N16" si="0">H17+H119+H207+H321</f>
        <v>10659450.490369933</v>
      </c>
      <c r="I16" s="167">
        <f t="shared" si="0"/>
        <v>9783742.5045504291</v>
      </c>
      <c r="J16" s="30">
        <f t="shared" si="0"/>
        <v>1960339.3960295701</v>
      </c>
      <c r="K16" s="167">
        <f t="shared" si="0"/>
        <v>1960339.3960295699</v>
      </c>
      <c r="L16" s="30">
        <f t="shared" si="0"/>
        <v>436143.55807214556</v>
      </c>
      <c r="M16" s="167">
        <f t="shared" si="0"/>
        <v>367836.82177000004</v>
      </c>
      <c r="N16" s="62">
        <f t="shared" si="0"/>
        <v>2906.5682500000003</v>
      </c>
    </row>
    <row r="17" spans="1:14" ht="16.5" thickBot="1" x14ac:dyDescent="0.3">
      <c r="A17" s="215"/>
      <c r="B17" s="216" t="s">
        <v>5</v>
      </c>
      <c r="C17" s="72"/>
      <c r="D17" s="13"/>
      <c r="E17" s="204"/>
      <c r="F17" s="30">
        <f>H17+J17+L17</f>
        <v>7952530.6173416525</v>
      </c>
      <c r="G17" s="167">
        <f t="shared" ref="F17:G19" si="1">I17+K17+M17</f>
        <v>7040142.3376199994</v>
      </c>
      <c r="H17" s="30">
        <f t="shared" ref="H17:N17" si="2">SUM(H18:H118)</f>
        <v>5556047.6632399363</v>
      </c>
      <c r="I17" s="167">
        <f t="shared" si="2"/>
        <v>4711966.119820429</v>
      </c>
      <c r="J17" s="30">
        <f t="shared" si="2"/>
        <v>1960339.3960295701</v>
      </c>
      <c r="K17" s="167">
        <f t="shared" si="2"/>
        <v>1960339.3960295699</v>
      </c>
      <c r="L17" s="30">
        <f t="shared" si="2"/>
        <v>436143.55807214556</v>
      </c>
      <c r="M17" s="167">
        <f t="shared" si="2"/>
        <v>367836.82177000004</v>
      </c>
      <c r="N17" s="217">
        <f t="shared" si="2"/>
        <v>0</v>
      </c>
    </row>
    <row r="18" spans="1:14" ht="31.5" x14ac:dyDescent="0.25">
      <c r="A18" s="255">
        <v>1</v>
      </c>
      <c r="B18" s="111" t="s">
        <v>32</v>
      </c>
      <c r="C18" s="51" t="s">
        <v>16</v>
      </c>
      <c r="D18" s="152">
        <v>1</v>
      </c>
      <c r="E18" s="104">
        <v>1</v>
      </c>
      <c r="F18" s="75">
        <f t="shared" si="1"/>
        <v>1746.2775000000001</v>
      </c>
      <c r="G18" s="135">
        <f t="shared" si="1"/>
        <v>1746.2774999999999</v>
      </c>
      <c r="H18" s="78">
        <v>1746.2775000000001</v>
      </c>
      <c r="I18" s="159">
        <v>1746.2774999999999</v>
      </c>
      <c r="J18" s="78"/>
      <c r="K18" s="159"/>
      <c r="L18" s="78"/>
      <c r="M18" s="159"/>
      <c r="N18" s="160"/>
    </row>
    <row r="19" spans="1:14" ht="48" thickBot="1" x14ac:dyDescent="0.3">
      <c r="A19" s="256"/>
      <c r="B19" s="112" t="s">
        <v>33</v>
      </c>
      <c r="C19" s="52" t="s">
        <v>24</v>
      </c>
      <c r="D19" s="161">
        <v>1</v>
      </c>
      <c r="E19" s="162">
        <v>1</v>
      </c>
      <c r="F19" s="36">
        <f t="shared" si="1"/>
        <v>1554.078</v>
      </c>
      <c r="G19" s="137">
        <f t="shared" si="1"/>
        <v>1554.078</v>
      </c>
      <c r="H19" s="21">
        <v>1554.078</v>
      </c>
      <c r="I19" s="163">
        <v>1554.078</v>
      </c>
      <c r="J19" s="21"/>
      <c r="K19" s="163"/>
      <c r="L19" s="21"/>
      <c r="M19" s="163"/>
      <c r="N19" s="164"/>
    </row>
    <row r="20" spans="1:14" ht="47.25" x14ac:dyDescent="0.25">
      <c r="A20" s="255">
        <v>2</v>
      </c>
      <c r="B20" s="111" t="s">
        <v>75</v>
      </c>
      <c r="C20" s="51" t="s">
        <v>16</v>
      </c>
      <c r="D20" s="152">
        <v>1</v>
      </c>
      <c r="E20" s="104">
        <v>1</v>
      </c>
      <c r="F20" s="75">
        <f t="shared" ref="F20:F22" si="3">H20+J20+L20</f>
        <v>17811.096348214302</v>
      </c>
      <c r="G20" s="135">
        <f t="shared" ref="G20:G22" si="4">I20+K20+M20</f>
        <v>17811.09635</v>
      </c>
      <c r="H20" s="78">
        <v>17811.096348214302</v>
      </c>
      <c r="I20" s="159">
        <v>17811.09635</v>
      </c>
      <c r="J20" s="78"/>
      <c r="K20" s="159"/>
      <c r="L20" s="78"/>
      <c r="M20" s="159"/>
      <c r="N20" s="160"/>
    </row>
    <row r="21" spans="1:14" ht="63.75" thickBot="1" x14ac:dyDescent="0.3">
      <c r="A21" s="256"/>
      <c r="B21" s="112" t="s">
        <v>76</v>
      </c>
      <c r="C21" s="52" t="s">
        <v>24</v>
      </c>
      <c r="D21" s="161">
        <v>1</v>
      </c>
      <c r="E21" s="162">
        <v>1</v>
      </c>
      <c r="F21" s="36">
        <f t="shared" si="3"/>
        <v>1344.7380000000001</v>
      </c>
      <c r="G21" s="137">
        <f t="shared" si="4"/>
        <v>2554.6376799999998</v>
      </c>
      <c r="H21" s="21">
        <v>1344.7380000000001</v>
      </c>
      <c r="I21" s="163">
        <v>2554.6376799999998</v>
      </c>
      <c r="J21" s="21"/>
      <c r="K21" s="163"/>
      <c r="L21" s="21"/>
      <c r="M21" s="163"/>
      <c r="N21" s="164"/>
    </row>
    <row r="22" spans="1:14" ht="51.75" customHeight="1" thickBot="1" x14ac:dyDescent="0.3">
      <c r="A22" s="102">
        <v>3</v>
      </c>
      <c r="B22" s="113" t="s">
        <v>77</v>
      </c>
      <c r="C22" s="6" t="s">
        <v>16</v>
      </c>
      <c r="D22" s="165">
        <v>1</v>
      </c>
      <c r="E22" s="166">
        <v>1</v>
      </c>
      <c r="F22" s="30">
        <f t="shared" si="3"/>
        <v>5000</v>
      </c>
      <c r="G22" s="167">
        <f t="shared" si="4"/>
        <v>5000</v>
      </c>
      <c r="H22" s="32">
        <v>5000</v>
      </c>
      <c r="I22" s="168">
        <v>5000</v>
      </c>
      <c r="J22" s="32"/>
      <c r="K22" s="168"/>
      <c r="L22" s="32"/>
      <c r="M22" s="168"/>
      <c r="N22" s="169"/>
    </row>
    <row r="23" spans="1:14" ht="94.5" x14ac:dyDescent="0.25">
      <c r="A23" s="101">
        <v>4</v>
      </c>
      <c r="B23" s="114" t="s">
        <v>23</v>
      </c>
      <c r="C23" s="51" t="s">
        <v>320</v>
      </c>
      <c r="D23" s="170" t="s">
        <v>321</v>
      </c>
      <c r="E23" s="171" t="s">
        <v>321</v>
      </c>
      <c r="F23" s="241">
        <f>H23+J23+L23</f>
        <v>104616.2264</v>
      </c>
      <c r="G23" s="223">
        <f>I23+K23+M23</f>
        <v>104616.22641999999</v>
      </c>
      <c r="H23" s="238">
        <v>104616.2264</v>
      </c>
      <c r="I23" s="226">
        <v>104616.22641999999</v>
      </c>
      <c r="J23" s="238"/>
      <c r="K23" s="226"/>
      <c r="L23" s="238"/>
      <c r="M23" s="226"/>
      <c r="N23" s="229"/>
    </row>
    <row r="24" spans="1:14" x14ac:dyDescent="0.25">
      <c r="A24" s="41" t="s">
        <v>296</v>
      </c>
      <c r="B24" s="115" t="s">
        <v>305</v>
      </c>
      <c r="C24" s="53" t="s">
        <v>302</v>
      </c>
      <c r="D24" s="153">
        <v>387.8</v>
      </c>
      <c r="E24" s="106">
        <v>387.8</v>
      </c>
      <c r="F24" s="242"/>
      <c r="G24" s="277"/>
      <c r="H24" s="239"/>
      <c r="I24" s="279"/>
      <c r="J24" s="239"/>
      <c r="K24" s="279"/>
      <c r="L24" s="239"/>
      <c r="M24" s="279"/>
      <c r="N24" s="230"/>
    </row>
    <row r="25" spans="1:14" x14ac:dyDescent="0.25">
      <c r="A25" s="41" t="s">
        <v>297</v>
      </c>
      <c r="B25" s="115" t="s">
        <v>306</v>
      </c>
      <c r="C25" s="53" t="s">
        <v>303</v>
      </c>
      <c r="D25" s="153">
        <v>764.42</v>
      </c>
      <c r="E25" s="106">
        <v>764.42</v>
      </c>
      <c r="F25" s="242"/>
      <c r="G25" s="277"/>
      <c r="H25" s="239"/>
      <c r="I25" s="279"/>
      <c r="J25" s="239"/>
      <c r="K25" s="279"/>
      <c r="L25" s="239"/>
      <c r="M25" s="279"/>
      <c r="N25" s="230"/>
    </row>
    <row r="26" spans="1:14" x14ac:dyDescent="0.25">
      <c r="A26" s="41" t="s">
        <v>298</v>
      </c>
      <c r="B26" s="115" t="s">
        <v>307</v>
      </c>
      <c r="C26" s="53" t="s">
        <v>302</v>
      </c>
      <c r="D26" s="153">
        <v>920.2</v>
      </c>
      <c r="E26" s="106">
        <v>920.2</v>
      </c>
      <c r="F26" s="242"/>
      <c r="G26" s="277"/>
      <c r="H26" s="239"/>
      <c r="I26" s="279"/>
      <c r="J26" s="239"/>
      <c r="K26" s="279"/>
      <c r="L26" s="239"/>
      <c r="M26" s="279"/>
      <c r="N26" s="230"/>
    </row>
    <row r="27" spans="1:14" x14ac:dyDescent="0.25">
      <c r="A27" s="41" t="s">
        <v>304</v>
      </c>
      <c r="B27" s="115" t="s">
        <v>312</v>
      </c>
      <c r="C27" s="53" t="s">
        <v>303</v>
      </c>
      <c r="D27" s="154">
        <v>2248.6799999999998</v>
      </c>
      <c r="E27" s="128">
        <v>2248.6799999999998</v>
      </c>
      <c r="F27" s="242"/>
      <c r="G27" s="277"/>
      <c r="H27" s="239"/>
      <c r="I27" s="279"/>
      <c r="J27" s="239"/>
      <c r="K27" s="279"/>
      <c r="L27" s="239"/>
      <c r="M27" s="279"/>
      <c r="N27" s="230"/>
    </row>
    <row r="28" spans="1:14" x14ac:dyDescent="0.25">
      <c r="A28" s="41" t="s">
        <v>324</v>
      </c>
      <c r="B28" s="115" t="s">
        <v>313</v>
      </c>
      <c r="C28" s="53" t="s">
        <v>308</v>
      </c>
      <c r="D28" s="154">
        <v>12491.7</v>
      </c>
      <c r="E28" s="128">
        <v>12491.7</v>
      </c>
      <c r="F28" s="242"/>
      <c r="G28" s="277"/>
      <c r="H28" s="239"/>
      <c r="I28" s="279"/>
      <c r="J28" s="239"/>
      <c r="K28" s="279"/>
      <c r="L28" s="239"/>
      <c r="M28" s="279"/>
      <c r="N28" s="230"/>
    </row>
    <row r="29" spans="1:14" ht="31.5" x14ac:dyDescent="0.25">
      <c r="A29" s="41" t="s">
        <v>325</v>
      </c>
      <c r="B29" s="115" t="s">
        <v>314</v>
      </c>
      <c r="C29" s="53" t="s">
        <v>309</v>
      </c>
      <c r="D29" s="155">
        <v>3850</v>
      </c>
      <c r="E29" s="129">
        <v>3850</v>
      </c>
      <c r="F29" s="242"/>
      <c r="G29" s="277"/>
      <c r="H29" s="239"/>
      <c r="I29" s="279"/>
      <c r="J29" s="239"/>
      <c r="K29" s="279"/>
      <c r="L29" s="239"/>
      <c r="M29" s="279"/>
      <c r="N29" s="230"/>
    </row>
    <row r="30" spans="1:14" x14ac:dyDescent="0.25">
      <c r="A30" s="41" t="s">
        <v>326</v>
      </c>
      <c r="B30" s="115" t="s">
        <v>315</v>
      </c>
      <c r="C30" s="53" t="s">
        <v>316</v>
      </c>
      <c r="D30" s="153">
        <v>16.611000000000001</v>
      </c>
      <c r="E30" s="106">
        <v>16.611000000000001</v>
      </c>
      <c r="F30" s="242"/>
      <c r="G30" s="277"/>
      <c r="H30" s="239"/>
      <c r="I30" s="279"/>
      <c r="J30" s="239"/>
      <c r="K30" s="279"/>
      <c r="L30" s="239"/>
      <c r="M30" s="279"/>
      <c r="N30" s="230"/>
    </row>
    <row r="31" spans="1:14" x14ac:dyDescent="0.25">
      <c r="A31" s="41" t="s">
        <v>327</v>
      </c>
      <c r="B31" s="115" t="s">
        <v>317</v>
      </c>
      <c r="C31" s="53" t="s">
        <v>311</v>
      </c>
      <c r="D31" s="153">
        <v>308</v>
      </c>
      <c r="E31" s="106">
        <v>308</v>
      </c>
      <c r="F31" s="242"/>
      <c r="G31" s="277"/>
      <c r="H31" s="239"/>
      <c r="I31" s="279"/>
      <c r="J31" s="239"/>
      <c r="K31" s="279"/>
      <c r="L31" s="239"/>
      <c r="M31" s="279"/>
      <c r="N31" s="230"/>
    </row>
    <row r="32" spans="1:14" x14ac:dyDescent="0.25">
      <c r="A32" s="41" t="s">
        <v>328</v>
      </c>
      <c r="B32" s="115" t="s">
        <v>318</v>
      </c>
      <c r="C32" s="53" t="s">
        <v>309</v>
      </c>
      <c r="D32" s="153">
        <v>174</v>
      </c>
      <c r="E32" s="106">
        <v>174</v>
      </c>
      <c r="F32" s="242"/>
      <c r="G32" s="277"/>
      <c r="H32" s="239"/>
      <c r="I32" s="279"/>
      <c r="J32" s="239"/>
      <c r="K32" s="279"/>
      <c r="L32" s="239"/>
      <c r="M32" s="279"/>
      <c r="N32" s="230"/>
    </row>
    <row r="33" spans="1:14" ht="32.25" thickBot="1" x14ac:dyDescent="0.3">
      <c r="A33" s="42" t="s">
        <v>329</v>
      </c>
      <c r="B33" s="116" t="s">
        <v>319</v>
      </c>
      <c r="C33" s="54" t="s">
        <v>309</v>
      </c>
      <c r="D33" s="158">
        <v>350</v>
      </c>
      <c r="E33" s="134">
        <v>350</v>
      </c>
      <c r="F33" s="243"/>
      <c r="G33" s="278"/>
      <c r="H33" s="240"/>
      <c r="I33" s="280"/>
      <c r="J33" s="240"/>
      <c r="K33" s="280"/>
      <c r="L33" s="240"/>
      <c r="M33" s="280"/>
      <c r="N33" s="231"/>
    </row>
    <row r="34" spans="1:14" ht="63" x14ac:dyDescent="0.25">
      <c r="A34" s="43">
        <v>5</v>
      </c>
      <c r="B34" s="111" t="s">
        <v>6</v>
      </c>
      <c r="C34" s="51" t="s">
        <v>337</v>
      </c>
      <c r="D34" s="152" t="s">
        <v>338</v>
      </c>
      <c r="E34" s="104" t="s">
        <v>338</v>
      </c>
      <c r="F34" s="241">
        <f>H34+J34+L34</f>
        <v>301637.28307</v>
      </c>
      <c r="G34" s="223">
        <f>I34+K34+M34</f>
        <v>301637.28307</v>
      </c>
      <c r="H34" s="235">
        <v>301637.28307</v>
      </c>
      <c r="I34" s="281">
        <v>301637.28307</v>
      </c>
      <c r="J34" s="235"/>
      <c r="K34" s="281"/>
      <c r="L34" s="235"/>
      <c r="M34" s="281"/>
      <c r="N34" s="232"/>
    </row>
    <row r="35" spans="1:14" x14ac:dyDescent="0.25">
      <c r="A35" s="41" t="s">
        <v>299</v>
      </c>
      <c r="B35" s="117" t="s">
        <v>333</v>
      </c>
      <c r="C35" s="53" t="s">
        <v>310</v>
      </c>
      <c r="D35" s="153">
        <v>5.5880000000000001</v>
      </c>
      <c r="E35" s="106">
        <v>5.5880000000000001</v>
      </c>
      <c r="F35" s="242"/>
      <c r="G35" s="277"/>
      <c r="H35" s="236"/>
      <c r="I35" s="282"/>
      <c r="J35" s="236"/>
      <c r="K35" s="282"/>
      <c r="L35" s="236"/>
      <c r="M35" s="282"/>
      <c r="N35" s="233"/>
    </row>
    <row r="36" spans="1:14" x14ac:dyDescent="0.25">
      <c r="A36" s="41" t="s">
        <v>300</v>
      </c>
      <c r="B36" s="117" t="s">
        <v>334</v>
      </c>
      <c r="C36" s="53" t="s">
        <v>310</v>
      </c>
      <c r="D36" s="153">
        <v>17.608000000000001</v>
      </c>
      <c r="E36" s="106">
        <v>17.608000000000001</v>
      </c>
      <c r="F36" s="242"/>
      <c r="G36" s="277"/>
      <c r="H36" s="236"/>
      <c r="I36" s="282"/>
      <c r="J36" s="236"/>
      <c r="K36" s="282"/>
      <c r="L36" s="236"/>
      <c r="M36" s="282"/>
      <c r="N36" s="233"/>
    </row>
    <row r="37" spans="1:14" x14ac:dyDescent="0.25">
      <c r="A37" s="41" t="s">
        <v>301</v>
      </c>
      <c r="B37" s="117" t="s">
        <v>335</v>
      </c>
      <c r="C37" s="53" t="s">
        <v>15</v>
      </c>
      <c r="D37" s="153">
        <v>104</v>
      </c>
      <c r="E37" s="106">
        <v>104</v>
      </c>
      <c r="F37" s="242"/>
      <c r="G37" s="277"/>
      <c r="H37" s="236"/>
      <c r="I37" s="282"/>
      <c r="J37" s="236"/>
      <c r="K37" s="282"/>
      <c r="L37" s="236"/>
      <c r="M37" s="282"/>
      <c r="N37" s="233"/>
    </row>
    <row r="38" spans="1:14" ht="16.5" thickBot="1" x14ac:dyDescent="0.3">
      <c r="A38" s="44" t="s">
        <v>330</v>
      </c>
      <c r="B38" s="122" t="s">
        <v>336</v>
      </c>
      <c r="C38" s="54" t="s">
        <v>322</v>
      </c>
      <c r="D38" s="158">
        <v>17</v>
      </c>
      <c r="E38" s="134">
        <v>17</v>
      </c>
      <c r="F38" s="243"/>
      <c r="G38" s="278"/>
      <c r="H38" s="237"/>
      <c r="I38" s="283"/>
      <c r="J38" s="237"/>
      <c r="K38" s="283"/>
      <c r="L38" s="237"/>
      <c r="M38" s="283"/>
      <c r="N38" s="234"/>
    </row>
    <row r="39" spans="1:14" ht="63" x14ac:dyDescent="0.25">
      <c r="A39" s="65">
        <v>6</v>
      </c>
      <c r="B39" s="119" t="s">
        <v>78</v>
      </c>
      <c r="C39" s="51" t="s">
        <v>323</v>
      </c>
      <c r="D39" s="152" t="s">
        <v>343</v>
      </c>
      <c r="E39" s="104" t="s">
        <v>620</v>
      </c>
      <c r="F39" s="241">
        <f>H39+J39+L39</f>
        <v>872960.34144731704</v>
      </c>
      <c r="G39" s="223">
        <f>I39+K39+M39</f>
        <v>872960.34144999995</v>
      </c>
      <c r="H39" s="238">
        <v>872960.34144731704</v>
      </c>
      <c r="I39" s="226">
        <v>872960.34144999995</v>
      </c>
      <c r="J39" s="269"/>
      <c r="K39" s="272"/>
      <c r="L39" s="269"/>
      <c r="M39" s="272"/>
      <c r="N39" s="220"/>
    </row>
    <row r="40" spans="1:14" x14ac:dyDescent="0.25">
      <c r="A40" s="66" t="s">
        <v>331</v>
      </c>
      <c r="B40" s="120" t="s">
        <v>340</v>
      </c>
      <c r="C40" s="53" t="s">
        <v>310</v>
      </c>
      <c r="D40" s="153">
        <v>49.067999999999998</v>
      </c>
      <c r="E40" s="106">
        <v>41.944000000000003</v>
      </c>
      <c r="F40" s="261"/>
      <c r="G40" s="224"/>
      <c r="H40" s="275"/>
      <c r="I40" s="227"/>
      <c r="J40" s="270"/>
      <c r="K40" s="273"/>
      <c r="L40" s="270"/>
      <c r="M40" s="273"/>
      <c r="N40" s="221"/>
    </row>
    <row r="41" spans="1:14" x14ac:dyDescent="0.25">
      <c r="A41" s="66" t="s">
        <v>332</v>
      </c>
      <c r="B41" s="120" t="s">
        <v>339</v>
      </c>
      <c r="C41" s="53" t="s">
        <v>322</v>
      </c>
      <c r="D41" s="153">
        <v>307</v>
      </c>
      <c r="E41" s="106">
        <v>77</v>
      </c>
      <c r="F41" s="261"/>
      <c r="G41" s="224"/>
      <c r="H41" s="275"/>
      <c r="I41" s="227"/>
      <c r="J41" s="270"/>
      <c r="K41" s="273"/>
      <c r="L41" s="270"/>
      <c r="M41" s="273"/>
      <c r="N41" s="221"/>
    </row>
    <row r="42" spans="1:14" ht="32.25" thickBot="1" x14ac:dyDescent="0.3">
      <c r="A42" s="67" t="s">
        <v>618</v>
      </c>
      <c r="B42" s="151" t="s">
        <v>619</v>
      </c>
      <c r="C42" s="54" t="s">
        <v>322</v>
      </c>
      <c r="D42" s="158"/>
      <c r="E42" s="134">
        <v>7</v>
      </c>
      <c r="F42" s="262"/>
      <c r="G42" s="225"/>
      <c r="H42" s="276"/>
      <c r="I42" s="228"/>
      <c r="J42" s="271"/>
      <c r="K42" s="274"/>
      <c r="L42" s="271"/>
      <c r="M42" s="274"/>
      <c r="N42" s="222"/>
    </row>
    <row r="43" spans="1:14" ht="63" x14ac:dyDescent="0.25">
      <c r="A43" s="65">
        <v>7</v>
      </c>
      <c r="B43" s="119" t="s">
        <v>79</v>
      </c>
      <c r="C43" s="51" t="s">
        <v>323</v>
      </c>
      <c r="D43" s="152" t="s">
        <v>344</v>
      </c>
      <c r="E43" s="104" t="s">
        <v>624</v>
      </c>
      <c r="F43" s="263">
        <f>H43+J43+L43</f>
        <v>532831.84727277292</v>
      </c>
      <c r="G43" s="266">
        <f>I43+K43+M43</f>
        <v>532831.84726999991</v>
      </c>
      <c r="H43" s="269">
        <v>532831.84727277292</v>
      </c>
      <c r="I43" s="272">
        <v>532831.84726999991</v>
      </c>
      <c r="J43" s="269"/>
      <c r="K43" s="272"/>
      <c r="L43" s="269"/>
      <c r="M43" s="272"/>
      <c r="N43" s="220"/>
    </row>
    <row r="44" spans="1:14" x14ac:dyDescent="0.25">
      <c r="A44" s="66" t="s">
        <v>341</v>
      </c>
      <c r="B44" s="120" t="s">
        <v>340</v>
      </c>
      <c r="C44" s="53" t="s">
        <v>310</v>
      </c>
      <c r="D44" s="153">
        <v>26.684999999999999</v>
      </c>
      <c r="E44" s="106">
        <v>12.355</v>
      </c>
      <c r="F44" s="264"/>
      <c r="G44" s="267"/>
      <c r="H44" s="270"/>
      <c r="I44" s="273"/>
      <c r="J44" s="270"/>
      <c r="K44" s="273"/>
      <c r="L44" s="270"/>
      <c r="M44" s="273"/>
      <c r="N44" s="221"/>
    </row>
    <row r="45" spans="1:14" x14ac:dyDescent="0.25">
      <c r="A45" s="66" t="s">
        <v>342</v>
      </c>
      <c r="B45" s="120" t="s">
        <v>339</v>
      </c>
      <c r="C45" s="53" t="s">
        <v>322</v>
      </c>
      <c r="D45" s="153">
        <v>164</v>
      </c>
      <c r="E45" s="106">
        <v>119</v>
      </c>
      <c r="F45" s="264"/>
      <c r="G45" s="267"/>
      <c r="H45" s="270"/>
      <c r="I45" s="273"/>
      <c r="J45" s="270"/>
      <c r="K45" s="273"/>
      <c r="L45" s="270"/>
      <c r="M45" s="273"/>
      <c r="N45" s="221"/>
    </row>
    <row r="46" spans="1:14" ht="31.5" x14ac:dyDescent="0.25">
      <c r="A46" s="66" t="s">
        <v>621</v>
      </c>
      <c r="B46" s="120" t="s">
        <v>619</v>
      </c>
      <c r="C46" s="53" t="s">
        <v>322</v>
      </c>
      <c r="D46" s="153"/>
      <c r="E46" s="106">
        <v>2</v>
      </c>
      <c r="F46" s="264"/>
      <c r="G46" s="267"/>
      <c r="H46" s="270"/>
      <c r="I46" s="273"/>
      <c r="J46" s="270"/>
      <c r="K46" s="273"/>
      <c r="L46" s="270"/>
      <c r="M46" s="273"/>
      <c r="N46" s="221"/>
    </row>
    <row r="47" spans="1:14" ht="32.25" thickBot="1" x14ac:dyDescent="0.3">
      <c r="A47" s="68" t="s">
        <v>622</v>
      </c>
      <c r="B47" s="121" t="s">
        <v>623</v>
      </c>
      <c r="C47" s="54" t="s">
        <v>322</v>
      </c>
      <c r="D47" s="158"/>
      <c r="E47" s="134">
        <v>31</v>
      </c>
      <c r="F47" s="265"/>
      <c r="G47" s="268"/>
      <c r="H47" s="271"/>
      <c r="I47" s="274"/>
      <c r="J47" s="271"/>
      <c r="K47" s="274"/>
      <c r="L47" s="271"/>
      <c r="M47" s="274"/>
      <c r="N47" s="222"/>
    </row>
    <row r="48" spans="1:14" ht="63" x14ac:dyDescent="0.25">
      <c r="A48" s="101">
        <v>8</v>
      </c>
      <c r="B48" s="111" t="s">
        <v>7</v>
      </c>
      <c r="C48" s="51" t="s">
        <v>631</v>
      </c>
      <c r="D48" s="152" t="s">
        <v>353</v>
      </c>
      <c r="E48" s="104" t="s">
        <v>630</v>
      </c>
      <c r="F48" s="241">
        <f>H48+J48+L48</f>
        <v>332525.82934211573</v>
      </c>
      <c r="G48" s="223">
        <f>I48+K48+M48</f>
        <v>332525.82933000004</v>
      </c>
      <c r="H48" s="235">
        <v>332525.82934211573</v>
      </c>
      <c r="I48" s="226">
        <v>332525.82933000004</v>
      </c>
      <c r="J48" s="235"/>
      <c r="K48" s="226"/>
      <c r="L48" s="235"/>
      <c r="M48" s="226"/>
      <c r="N48" s="232"/>
    </row>
    <row r="49" spans="1:14" x14ac:dyDescent="0.25">
      <c r="A49" s="45" t="s">
        <v>346</v>
      </c>
      <c r="B49" s="117" t="s">
        <v>385</v>
      </c>
      <c r="C49" s="53" t="s">
        <v>322</v>
      </c>
      <c r="D49" s="153">
        <v>1</v>
      </c>
      <c r="E49" s="106"/>
      <c r="F49" s="242"/>
      <c r="G49" s="224"/>
      <c r="H49" s="236"/>
      <c r="I49" s="227"/>
      <c r="J49" s="236"/>
      <c r="K49" s="227"/>
      <c r="L49" s="236"/>
      <c r="M49" s="227"/>
      <c r="N49" s="233"/>
    </row>
    <row r="50" spans="1:14" x14ac:dyDescent="0.25">
      <c r="A50" s="41" t="s">
        <v>347</v>
      </c>
      <c r="B50" s="117" t="s">
        <v>386</v>
      </c>
      <c r="C50" s="53" t="s">
        <v>322</v>
      </c>
      <c r="D50" s="153">
        <v>2</v>
      </c>
      <c r="E50" s="106">
        <v>1</v>
      </c>
      <c r="F50" s="242"/>
      <c r="G50" s="224"/>
      <c r="H50" s="236"/>
      <c r="I50" s="227"/>
      <c r="J50" s="236"/>
      <c r="K50" s="227"/>
      <c r="L50" s="236"/>
      <c r="M50" s="227"/>
      <c r="N50" s="233"/>
    </row>
    <row r="51" spans="1:14" x14ac:dyDescent="0.25">
      <c r="A51" s="41" t="s">
        <v>348</v>
      </c>
      <c r="B51" s="117" t="s">
        <v>387</v>
      </c>
      <c r="C51" s="53" t="s">
        <v>322</v>
      </c>
      <c r="D51" s="153">
        <v>2</v>
      </c>
      <c r="E51" s="106">
        <v>2</v>
      </c>
      <c r="F51" s="242"/>
      <c r="G51" s="224"/>
      <c r="H51" s="236"/>
      <c r="I51" s="227"/>
      <c r="J51" s="236"/>
      <c r="K51" s="227"/>
      <c r="L51" s="236"/>
      <c r="M51" s="227"/>
      <c r="N51" s="233"/>
    </row>
    <row r="52" spans="1:14" x14ac:dyDescent="0.25">
      <c r="A52" s="41" t="s">
        <v>349</v>
      </c>
      <c r="B52" s="117" t="s">
        <v>388</v>
      </c>
      <c r="C52" s="53" t="s">
        <v>322</v>
      </c>
      <c r="D52" s="153">
        <v>1</v>
      </c>
      <c r="E52" s="106">
        <v>2</v>
      </c>
      <c r="F52" s="242"/>
      <c r="G52" s="224"/>
      <c r="H52" s="236"/>
      <c r="I52" s="227"/>
      <c r="J52" s="236"/>
      <c r="K52" s="227"/>
      <c r="L52" s="236"/>
      <c r="M52" s="227"/>
      <c r="N52" s="233"/>
    </row>
    <row r="53" spans="1:14" x14ac:dyDescent="0.25">
      <c r="A53" s="41" t="s">
        <v>350</v>
      </c>
      <c r="B53" s="117" t="s">
        <v>389</v>
      </c>
      <c r="C53" s="53" t="s">
        <v>322</v>
      </c>
      <c r="D53" s="153">
        <v>6</v>
      </c>
      <c r="E53" s="106"/>
      <c r="F53" s="242"/>
      <c r="G53" s="224"/>
      <c r="H53" s="236"/>
      <c r="I53" s="227"/>
      <c r="J53" s="236"/>
      <c r="K53" s="227"/>
      <c r="L53" s="236"/>
      <c r="M53" s="227"/>
      <c r="N53" s="233"/>
    </row>
    <row r="54" spans="1:14" ht="31.5" x14ac:dyDescent="0.25">
      <c r="A54" s="41" t="s">
        <v>351</v>
      </c>
      <c r="B54" s="118" t="s">
        <v>625</v>
      </c>
      <c r="C54" s="53" t="s">
        <v>310</v>
      </c>
      <c r="D54" s="153"/>
      <c r="E54" s="130">
        <v>0.95930000000000004</v>
      </c>
      <c r="F54" s="242"/>
      <c r="G54" s="224"/>
      <c r="H54" s="236"/>
      <c r="I54" s="227"/>
      <c r="J54" s="236"/>
      <c r="K54" s="227"/>
      <c r="L54" s="236"/>
      <c r="M54" s="227"/>
      <c r="N54" s="233"/>
    </row>
    <row r="55" spans="1:14" x14ac:dyDescent="0.25">
      <c r="A55" s="41" t="s">
        <v>626</v>
      </c>
      <c r="B55" s="118" t="s">
        <v>334</v>
      </c>
      <c r="C55" s="53" t="s">
        <v>310</v>
      </c>
      <c r="D55" s="153"/>
      <c r="E55" s="130">
        <v>14.975</v>
      </c>
      <c r="F55" s="242"/>
      <c r="G55" s="224"/>
      <c r="H55" s="236"/>
      <c r="I55" s="227"/>
      <c r="J55" s="236"/>
      <c r="K55" s="227"/>
      <c r="L55" s="236"/>
      <c r="M55" s="227"/>
      <c r="N55" s="233"/>
    </row>
    <row r="56" spans="1:14" x14ac:dyDescent="0.25">
      <c r="A56" s="41" t="s">
        <v>627</v>
      </c>
      <c r="B56" s="118" t="s">
        <v>335</v>
      </c>
      <c r="C56" s="53" t="s">
        <v>311</v>
      </c>
      <c r="D56" s="153"/>
      <c r="E56" s="106">
        <v>80</v>
      </c>
      <c r="F56" s="242"/>
      <c r="G56" s="224"/>
      <c r="H56" s="236"/>
      <c r="I56" s="227"/>
      <c r="J56" s="236"/>
      <c r="K56" s="227"/>
      <c r="L56" s="236"/>
      <c r="M56" s="227"/>
      <c r="N56" s="233"/>
    </row>
    <row r="57" spans="1:14" x14ac:dyDescent="0.25">
      <c r="A57" s="41" t="s">
        <v>628</v>
      </c>
      <c r="B57" s="118" t="s">
        <v>336</v>
      </c>
      <c r="C57" s="53" t="s">
        <v>322</v>
      </c>
      <c r="D57" s="153"/>
      <c r="E57" s="106">
        <v>9</v>
      </c>
      <c r="F57" s="242"/>
      <c r="G57" s="224"/>
      <c r="H57" s="236"/>
      <c r="I57" s="227"/>
      <c r="J57" s="236"/>
      <c r="K57" s="227"/>
      <c r="L57" s="236"/>
      <c r="M57" s="227"/>
      <c r="N57" s="233"/>
    </row>
    <row r="58" spans="1:14" ht="16.5" thickBot="1" x14ac:dyDescent="0.3">
      <c r="A58" s="42" t="s">
        <v>629</v>
      </c>
      <c r="B58" s="122" t="s">
        <v>345</v>
      </c>
      <c r="C58" s="54" t="s">
        <v>15</v>
      </c>
      <c r="D58" s="158">
        <v>2</v>
      </c>
      <c r="E58" s="134"/>
      <c r="F58" s="243"/>
      <c r="G58" s="225"/>
      <c r="H58" s="237"/>
      <c r="I58" s="228"/>
      <c r="J58" s="237"/>
      <c r="K58" s="228"/>
      <c r="L58" s="237"/>
      <c r="M58" s="228"/>
      <c r="N58" s="234"/>
    </row>
    <row r="59" spans="1:14" ht="31.5" x14ac:dyDescent="0.25">
      <c r="A59" s="101">
        <v>9</v>
      </c>
      <c r="B59" s="114" t="s">
        <v>27</v>
      </c>
      <c r="C59" s="51" t="s">
        <v>357</v>
      </c>
      <c r="D59" s="152" t="s">
        <v>356</v>
      </c>
      <c r="E59" s="104" t="s">
        <v>356</v>
      </c>
      <c r="F59" s="241">
        <f>H59+J59+L59</f>
        <v>98861.154760000005</v>
      </c>
      <c r="G59" s="223">
        <f>I59+K59+M59</f>
        <v>92710.376260000019</v>
      </c>
      <c r="H59" s="238">
        <v>98861.154760000005</v>
      </c>
      <c r="I59" s="226">
        <v>92710.376260000019</v>
      </c>
      <c r="J59" s="238"/>
      <c r="K59" s="226"/>
      <c r="L59" s="238"/>
      <c r="M59" s="226"/>
      <c r="N59" s="229"/>
    </row>
    <row r="60" spans="1:14" x14ac:dyDescent="0.25">
      <c r="A60" s="41" t="s">
        <v>358</v>
      </c>
      <c r="B60" s="115" t="s">
        <v>354</v>
      </c>
      <c r="C60" s="55" t="s">
        <v>352</v>
      </c>
      <c r="D60" s="156">
        <v>3</v>
      </c>
      <c r="E60" s="69">
        <v>3</v>
      </c>
      <c r="F60" s="242"/>
      <c r="G60" s="224"/>
      <c r="H60" s="239"/>
      <c r="I60" s="227"/>
      <c r="J60" s="239"/>
      <c r="K60" s="227"/>
      <c r="L60" s="239"/>
      <c r="M60" s="227"/>
      <c r="N60" s="230"/>
    </row>
    <row r="61" spans="1:14" ht="16.5" thickBot="1" x14ac:dyDescent="0.3">
      <c r="A61" s="42" t="s">
        <v>359</v>
      </c>
      <c r="B61" s="116" t="s">
        <v>355</v>
      </c>
      <c r="C61" s="56" t="s">
        <v>310</v>
      </c>
      <c r="D61" s="174">
        <v>3.5110000000000001</v>
      </c>
      <c r="E61" s="175">
        <v>3.5110000000000001</v>
      </c>
      <c r="F61" s="243"/>
      <c r="G61" s="225"/>
      <c r="H61" s="240"/>
      <c r="I61" s="228"/>
      <c r="J61" s="240"/>
      <c r="K61" s="228"/>
      <c r="L61" s="240"/>
      <c r="M61" s="228"/>
      <c r="N61" s="231"/>
    </row>
    <row r="62" spans="1:14" ht="39.75" customHeight="1" thickBot="1" x14ac:dyDescent="0.3">
      <c r="A62" s="40">
        <v>10</v>
      </c>
      <c r="B62" s="123" t="s">
        <v>80</v>
      </c>
      <c r="C62" s="4" t="s">
        <v>16</v>
      </c>
      <c r="D62" s="165">
        <v>1</v>
      </c>
      <c r="E62" s="166">
        <v>1</v>
      </c>
      <c r="F62" s="30">
        <f t="shared" ref="F62:G64" si="5">H62+J62+L62</f>
        <v>1500</v>
      </c>
      <c r="G62" s="167">
        <f t="shared" si="5"/>
        <v>1500</v>
      </c>
      <c r="H62" s="31">
        <v>1500</v>
      </c>
      <c r="I62" s="176">
        <v>1500</v>
      </c>
      <c r="J62" s="23"/>
      <c r="K62" s="177"/>
      <c r="L62" s="23"/>
      <c r="M62" s="177"/>
      <c r="N62" s="178"/>
    </row>
    <row r="63" spans="1:14" ht="48" thickBot="1" x14ac:dyDescent="0.3">
      <c r="A63" s="102">
        <v>11</v>
      </c>
      <c r="B63" s="124" t="s">
        <v>145</v>
      </c>
      <c r="C63" s="11" t="s">
        <v>16</v>
      </c>
      <c r="D63" s="179">
        <v>1</v>
      </c>
      <c r="E63" s="180">
        <v>1</v>
      </c>
      <c r="F63" s="107">
        <f t="shared" si="5"/>
        <v>4668.10005</v>
      </c>
      <c r="G63" s="181">
        <f t="shared" si="5"/>
        <v>2349.93705</v>
      </c>
      <c r="H63" s="109">
        <v>4668.10005</v>
      </c>
      <c r="I63" s="182">
        <v>2349.93705</v>
      </c>
      <c r="J63" s="22"/>
      <c r="K63" s="183"/>
      <c r="L63" s="22"/>
      <c r="M63" s="183"/>
      <c r="N63" s="184"/>
    </row>
    <row r="64" spans="1:14" ht="31.5" x14ac:dyDescent="0.25">
      <c r="A64" s="101">
        <v>12</v>
      </c>
      <c r="B64" s="111" t="s">
        <v>653</v>
      </c>
      <c r="C64" s="51" t="s">
        <v>390</v>
      </c>
      <c r="D64" s="152" t="s">
        <v>368</v>
      </c>
      <c r="E64" s="104" t="s">
        <v>368</v>
      </c>
      <c r="F64" s="241">
        <f t="shared" si="5"/>
        <v>436143.55807214556</v>
      </c>
      <c r="G64" s="223">
        <f t="shared" si="5"/>
        <v>367836.82177000004</v>
      </c>
      <c r="H64" s="235"/>
      <c r="I64" s="226"/>
      <c r="J64" s="235"/>
      <c r="K64" s="226"/>
      <c r="L64" s="235">
        <v>436143.55807214556</v>
      </c>
      <c r="M64" s="226">
        <v>367836.82177000004</v>
      </c>
      <c r="N64" s="232"/>
    </row>
    <row r="65" spans="1:14" x14ac:dyDescent="0.25">
      <c r="A65" s="41" t="s">
        <v>364</v>
      </c>
      <c r="B65" s="117" t="s">
        <v>360</v>
      </c>
      <c r="C65" s="55" t="s">
        <v>311</v>
      </c>
      <c r="D65" s="156">
        <v>31</v>
      </c>
      <c r="E65" s="69">
        <v>31</v>
      </c>
      <c r="F65" s="242"/>
      <c r="G65" s="224"/>
      <c r="H65" s="236"/>
      <c r="I65" s="227"/>
      <c r="J65" s="236"/>
      <c r="K65" s="227"/>
      <c r="L65" s="236"/>
      <c r="M65" s="227"/>
      <c r="N65" s="233"/>
    </row>
    <row r="66" spans="1:14" x14ac:dyDescent="0.25">
      <c r="A66" s="41" t="s">
        <v>365</v>
      </c>
      <c r="B66" s="117" t="s">
        <v>361</v>
      </c>
      <c r="C66" s="55" t="s">
        <v>311</v>
      </c>
      <c r="D66" s="156">
        <v>6</v>
      </c>
      <c r="E66" s="69">
        <v>6</v>
      </c>
      <c r="F66" s="242"/>
      <c r="G66" s="224"/>
      <c r="H66" s="236"/>
      <c r="I66" s="227"/>
      <c r="J66" s="236"/>
      <c r="K66" s="227"/>
      <c r="L66" s="236"/>
      <c r="M66" s="227"/>
      <c r="N66" s="233"/>
    </row>
    <row r="67" spans="1:14" x14ac:dyDescent="0.25">
      <c r="A67" s="41" t="s">
        <v>366</v>
      </c>
      <c r="B67" s="117" t="s">
        <v>362</v>
      </c>
      <c r="C67" s="55" t="s">
        <v>311</v>
      </c>
      <c r="D67" s="156">
        <v>3</v>
      </c>
      <c r="E67" s="69">
        <v>3</v>
      </c>
      <c r="F67" s="242"/>
      <c r="G67" s="224"/>
      <c r="H67" s="236"/>
      <c r="I67" s="227"/>
      <c r="J67" s="236"/>
      <c r="K67" s="227"/>
      <c r="L67" s="236"/>
      <c r="M67" s="227"/>
      <c r="N67" s="233"/>
    </row>
    <row r="68" spans="1:14" ht="16.5" thickBot="1" x14ac:dyDescent="0.3">
      <c r="A68" s="42" t="s">
        <v>367</v>
      </c>
      <c r="B68" s="122" t="s">
        <v>363</v>
      </c>
      <c r="C68" s="56" t="s">
        <v>295</v>
      </c>
      <c r="D68" s="174">
        <v>108</v>
      </c>
      <c r="E68" s="175">
        <v>108</v>
      </c>
      <c r="F68" s="243"/>
      <c r="G68" s="225"/>
      <c r="H68" s="237"/>
      <c r="I68" s="228"/>
      <c r="J68" s="237"/>
      <c r="K68" s="228"/>
      <c r="L68" s="237"/>
      <c r="M68" s="228"/>
      <c r="N68" s="234"/>
    </row>
    <row r="69" spans="1:14" ht="31.5" x14ac:dyDescent="0.25">
      <c r="A69" s="101">
        <v>13</v>
      </c>
      <c r="B69" s="111" t="s">
        <v>12</v>
      </c>
      <c r="C69" s="57" t="s">
        <v>144</v>
      </c>
      <c r="D69" s="185">
        <v>1</v>
      </c>
      <c r="E69" s="104" t="s">
        <v>632</v>
      </c>
      <c r="F69" s="241">
        <f>H69+J69+L69</f>
        <v>360805.131380426</v>
      </c>
      <c r="G69" s="223">
        <f>I69+K69+M69</f>
        <v>360805.13139999995</v>
      </c>
      <c r="H69" s="235">
        <v>360805.131380426</v>
      </c>
      <c r="I69" s="226">
        <v>360805.13139999995</v>
      </c>
      <c r="J69" s="235"/>
      <c r="K69" s="226"/>
      <c r="L69" s="235"/>
      <c r="M69" s="226"/>
      <c r="N69" s="232"/>
    </row>
    <row r="70" spans="1:14" ht="31.5" x14ac:dyDescent="0.25">
      <c r="A70" s="41" t="s">
        <v>371</v>
      </c>
      <c r="B70" s="117" t="s">
        <v>369</v>
      </c>
      <c r="C70" s="55" t="s">
        <v>310</v>
      </c>
      <c r="D70" s="156">
        <v>14.1</v>
      </c>
      <c r="E70" s="131">
        <v>16.972999999999999</v>
      </c>
      <c r="F70" s="242"/>
      <c r="G70" s="224"/>
      <c r="H70" s="236"/>
      <c r="I70" s="227"/>
      <c r="J70" s="236"/>
      <c r="K70" s="227"/>
      <c r="L70" s="236"/>
      <c r="M70" s="227"/>
      <c r="N70" s="233"/>
    </row>
    <row r="71" spans="1:14" ht="16.5" thickBot="1" x14ac:dyDescent="0.3">
      <c r="A71" s="42" t="s">
        <v>372</v>
      </c>
      <c r="B71" s="122" t="s">
        <v>370</v>
      </c>
      <c r="C71" s="56" t="s">
        <v>352</v>
      </c>
      <c r="D71" s="186">
        <v>1438</v>
      </c>
      <c r="E71" s="187">
        <v>1121</v>
      </c>
      <c r="F71" s="243"/>
      <c r="G71" s="225"/>
      <c r="H71" s="237"/>
      <c r="I71" s="228"/>
      <c r="J71" s="237"/>
      <c r="K71" s="228"/>
      <c r="L71" s="237"/>
      <c r="M71" s="228"/>
      <c r="N71" s="234"/>
    </row>
    <row r="72" spans="1:14" ht="47.25" x14ac:dyDescent="0.25">
      <c r="A72" s="101">
        <v>14</v>
      </c>
      <c r="B72" s="111" t="s">
        <v>8</v>
      </c>
      <c r="C72" s="51" t="s">
        <v>391</v>
      </c>
      <c r="D72" s="152" t="s">
        <v>392</v>
      </c>
      <c r="E72" s="104" t="s">
        <v>615</v>
      </c>
      <c r="F72" s="241">
        <f>H72+J72+L72</f>
        <v>3740472.0921805901</v>
      </c>
      <c r="G72" s="223">
        <f>I72+K72+M72</f>
        <v>2911055.4045599997</v>
      </c>
      <c r="H72" s="235">
        <v>1780132.69615102</v>
      </c>
      <c r="I72" s="226">
        <v>950716.00853043003</v>
      </c>
      <c r="J72" s="235">
        <v>1960339.3960295701</v>
      </c>
      <c r="K72" s="226">
        <v>1960339.3960295699</v>
      </c>
      <c r="L72" s="235"/>
      <c r="M72" s="226"/>
      <c r="N72" s="232"/>
    </row>
    <row r="73" spans="1:14" x14ac:dyDescent="0.25">
      <c r="A73" s="41" t="s">
        <v>402</v>
      </c>
      <c r="B73" s="117" t="s">
        <v>373</v>
      </c>
      <c r="C73" s="55" t="s">
        <v>295</v>
      </c>
      <c r="D73" s="156">
        <v>30</v>
      </c>
      <c r="E73" s="69"/>
      <c r="F73" s="242"/>
      <c r="G73" s="224"/>
      <c r="H73" s="236"/>
      <c r="I73" s="227"/>
      <c r="J73" s="236"/>
      <c r="K73" s="227"/>
      <c r="L73" s="236"/>
      <c r="M73" s="227"/>
      <c r="N73" s="233"/>
    </row>
    <row r="74" spans="1:14" x14ac:dyDescent="0.25">
      <c r="A74" s="41" t="s">
        <v>403</v>
      </c>
      <c r="B74" s="117" t="s">
        <v>374</v>
      </c>
      <c r="C74" s="55" t="s">
        <v>295</v>
      </c>
      <c r="D74" s="156">
        <v>34</v>
      </c>
      <c r="E74" s="69"/>
      <c r="F74" s="242"/>
      <c r="G74" s="224"/>
      <c r="H74" s="236"/>
      <c r="I74" s="227"/>
      <c r="J74" s="236"/>
      <c r="K74" s="227"/>
      <c r="L74" s="236"/>
      <c r="M74" s="227"/>
      <c r="N74" s="233"/>
    </row>
    <row r="75" spans="1:14" x14ac:dyDescent="0.25">
      <c r="A75" s="41" t="s">
        <v>404</v>
      </c>
      <c r="B75" s="117" t="s">
        <v>375</v>
      </c>
      <c r="C75" s="55" t="s">
        <v>295</v>
      </c>
      <c r="D75" s="156">
        <v>2</v>
      </c>
      <c r="E75" s="69"/>
      <c r="F75" s="242"/>
      <c r="G75" s="224"/>
      <c r="H75" s="236"/>
      <c r="I75" s="227"/>
      <c r="J75" s="236"/>
      <c r="K75" s="227"/>
      <c r="L75" s="236"/>
      <c r="M75" s="227"/>
      <c r="N75" s="233"/>
    </row>
    <row r="76" spans="1:14" x14ac:dyDescent="0.25">
      <c r="A76" s="41" t="s">
        <v>405</v>
      </c>
      <c r="B76" s="117" t="s">
        <v>376</v>
      </c>
      <c r="C76" s="55" t="s">
        <v>295</v>
      </c>
      <c r="D76" s="156">
        <v>1</v>
      </c>
      <c r="E76" s="69"/>
      <c r="F76" s="242"/>
      <c r="G76" s="224"/>
      <c r="H76" s="236"/>
      <c r="I76" s="227"/>
      <c r="J76" s="236"/>
      <c r="K76" s="227"/>
      <c r="L76" s="236"/>
      <c r="M76" s="227"/>
      <c r="N76" s="233"/>
    </row>
    <row r="77" spans="1:14" ht="31.5" x14ac:dyDescent="0.25">
      <c r="A77" s="41" t="s">
        <v>406</v>
      </c>
      <c r="B77" s="117" t="s">
        <v>377</v>
      </c>
      <c r="C77" s="55" t="s">
        <v>295</v>
      </c>
      <c r="D77" s="156">
        <v>5</v>
      </c>
      <c r="E77" s="69"/>
      <c r="F77" s="242"/>
      <c r="G77" s="224"/>
      <c r="H77" s="236"/>
      <c r="I77" s="227"/>
      <c r="J77" s="236"/>
      <c r="K77" s="227"/>
      <c r="L77" s="236"/>
      <c r="M77" s="227"/>
      <c r="N77" s="233"/>
    </row>
    <row r="78" spans="1:14" ht="31.5" x14ac:dyDescent="0.25">
      <c r="A78" s="41" t="s">
        <v>407</v>
      </c>
      <c r="B78" s="117" t="s">
        <v>378</v>
      </c>
      <c r="C78" s="55" t="s">
        <v>295</v>
      </c>
      <c r="D78" s="156">
        <v>1</v>
      </c>
      <c r="E78" s="69"/>
      <c r="F78" s="242"/>
      <c r="G78" s="224"/>
      <c r="H78" s="236"/>
      <c r="I78" s="227"/>
      <c r="J78" s="236"/>
      <c r="K78" s="227"/>
      <c r="L78" s="236"/>
      <c r="M78" s="227"/>
      <c r="N78" s="233"/>
    </row>
    <row r="79" spans="1:14" x14ac:dyDescent="0.25">
      <c r="A79" s="45" t="s">
        <v>408</v>
      </c>
      <c r="B79" s="117" t="s">
        <v>379</v>
      </c>
      <c r="C79" s="55" t="s">
        <v>295</v>
      </c>
      <c r="D79" s="156">
        <v>30</v>
      </c>
      <c r="E79" s="69">
        <v>30</v>
      </c>
      <c r="F79" s="242"/>
      <c r="G79" s="224"/>
      <c r="H79" s="236"/>
      <c r="I79" s="227"/>
      <c r="J79" s="236"/>
      <c r="K79" s="227"/>
      <c r="L79" s="236"/>
      <c r="M79" s="227"/>
      <c r="N79" s="233"/>
    </row>
    <row r="80" spans="1:14" ht="31.5" x14ac:dyDescent="0.25">
      <c r="A80" s="41" t="s">
        <v>409</v>
      </c>
      <c r="B80" s="117" t="s">
        <v>380</v>
      </c>
      <c r="C80" s="55" t="s">
        <v>310</v>
      </c>
      <c r="D80" s="156">
        <v>29.673999999999999</v>
      </c>
      <c r="E80" s="69">
        <v>29.673999999999999</v>
      </c>
      <c r="F80" s="242"/>
      <c r="G80" s="224"/>
      <c r="H80" s="236"/>
      <c r="I80" s="227"/>
      <c r="J80" s="236"/>
      <c r="K80" s="227"/>
      <c r="L80" s="236"/>
      <c r="M80" s="227"/>
      <c r="N80" s="233"/>
    </row>
    <row r="81" spans="1:14" x14ac:dyDescent="0.25">
      <c r="A81" s="41" t="s">
        <v>410</v>
      </c>
      <c r="B81" s="117" t="s">
        <v>370</v>
      </c>
      <c r="C81" s="55" t="s">
        <v>15</v>
      </c>
      <c r="D81" s="156">
        <v>270</v>
      </c>
      <c r="E81" s="69">
        <v>270</v>
      </c>
      <c r="F81" s="242"/>
      <c r="G81" s="224"/>
      <c r="H81" s="236"/>
      <c r="I81" s="227"/>
      <c r="J81" s="236"/>
      <c r="K81" s="227"/>
      <c r="L81" s="236"/>
      <c r="M81" s="227"/>
      <c r="N81" s="233"/>
    </row>
    <row r="82" spans="1:14" x14ac:dyDescent="0.25">
      <c r="A82" s="41" t="s">
        <v>411</v>
      </c>
      <c r="B82" s="117" t="s">
        <v>360</v>
      </c>
      <c r="C82" s="55" t="s">
        <v>15</v>
      </c>
      <c r="D82" s="156">
        <v>58</v>
      </c>
      <c r="E82" s="69">
        <v>58</v>
      </c>
      <c r="F82" s="242"/>
      <c r="G82" s="224"/>
      <c r="H82" s="236"/>
      <c r="I82" s="227"/>
      <c r="J82" s="236"/>
      <c r="K82" s="227"/>
      <c r="L82" s="236"/>
      <c r="M82" s="227"/>
      <c r="N82" s="233"/>
    </row>
    <row r="83" spans="1:14" x14ac:dyDescent="0.25">
      <c r="A83" s="41" t="s">
        <v>412</v>
      </c>
      <c r="B83" s="117" t="s">
        <v>381</v>
      </c>
      <c r="C83" s="55" t="s">
        <v>15</v>
      </c>
      <c r="D83" s="156">
        <v>1</v>
      </c>
      <c r="E83" s="69">
        <v>1</v>
      </c>
      <c r="F83" s="242"/>
      <c r="G83" s="224"/>
      <c r="H83" s="236"/>
      <c r="I83" s="227"/>
      <c r="J83" s="236"/>
      <c r="K83" s="227"/>
      <c r="L83" s="236"/>
      <c r="M83" s="227"/>
      <c r="N83" s="233"/>
    </row>
    <row r="84" spans="1:14" x14ac:dyDescent="0.25">
      <c r="A84" s="41" t="s">
        <v>413</v>
      </c>
      <c r="B84" s="117" t="s">
        <v>361</v>
      </c>
      <c r="C84" s="55" t="s">
        <v>15</v>
      </c>
      <c r="D84" s="156">
        <v>5</v>
      </c>
      <c r="E84" s="69">
        <v>5</v>
      </c>
      <c r="F84" s="242"/>
      <c r="G84" s="224"/>
      <c r="H84" s="236"/>
      <c r="I84" s="227"/>
      <c r="J84" s="236"/>
      <c r="K84" s="227"/>
      <c r="L84" s="236"/>
      <c r="M84" s="227"/>
      <c r="N84" s="233"/>
    </row>
    <row r="85" spans="1:14" ht="31.5" x14ac:dyDescent="0.25">
      <c r="A85" s="45" t="s">
        <v>414</v>
      </c>
      <c r="B85" s="117" t="s">
        <v>382</v>
      </c>
      <c r="C85" s="55" t="s">
        <v>15</v>
      </c>
      <c r="D85" s="156">
        <v>1</v>
      </c>
      <c r="E85" s="69">
        <v>1</v>
      </c>
      <c r="F85" s="242"/>
      <c r="G85" s="224"/>
      <c r="H85" s="236"/>
      <c r="I85" s="227"/>
      <c r="J85" s="236"/>
      <c r="K85" s="227"/>
      <c r="L85" s="236"/>
      <c r="M85" s="227"/>
      <c r="N85" s="233"/>
    </row>
    <row r="86" spans="1:14" x14ac:dyDescent="0.25">
      <c r="A86" s="41" t="s">
        <v>415</v>
      </c>
      <c r="B86" s="117" t="s">
        <v>383</v>
      </c>
      <c r="C86" s="55" t="s">
        <v>310</v>
      </c>
      <c r="D86" s="156">
        <v>77.825000000000003</v>
      </c>
      <c r="E86" s="69">
        <v>77.825000000000003</v>
      </c>
      <c r="F86" s="242"/>
      <c r="G86" s="224"/>
      <c r="H86" s="236"/>
      <c r="I86" s="227"/>
      <c r="J86" s="236"/>
      <c r="K86" s="227"/>
      <c r="L86" s="236"/>
      <c r="M86" s="227"/>
      <c r="N86" s="233"/>
    </row>
    <row r="87" spans="1:14" ht="16.5" thickBot="1" x14ac:dyDescent="0.3">
      <c r="A87" s="42" t="s">
        <v>673</v>
      </c>
      <c r="B87" s="122" t="s">
        <v>384</v>
      </c>
      <c r="C87" s="56" t="s">
        <v>15</v>
      </c>
      <c r="D87" s="174">
        <v>624</v>
      </c>
      <c r="E87" s="175">
        <v>624</v>
      </c>
      <c r="F87" s="243"/>
      <c r="G87" s="225"/>
      <c r="H87" s="237"/>
      <c r="I87" s="228"/>
      <c r="J87" s="237"/>
      <c r="K87" s="228"/>
      <c r="L87" s="237"/>
      <c r="M87" s="228"/>
      <c r="N87" s="234"/>
    </row>
    <row r="88" spans="1:14" ht="50.25" customHeight="1" x14ac:dyDescent="0.25">
      <c r="A88" s="255">
        <v>15</v>
      </c>
      <c r="B88" s="111" t="s">
        <v>25</v>
      </c>
      <c r="C88" s="57" t="s">
        <v>16</v>
      </c>
      <c r="D88" s="152">
        <v>1</v>
      </c>
      <c r="E88" s="104">
        <v>1</v>
      </c>
      <c r="F88" s="75">
        <f t="shared" ref="F88:G90" si="6">H88+J88+L88</f>
        <v>227.66429000000016</v>
      </c>
      <c r="G88" s="135">
        <f t="shared" si="6"/>
        <v>227.66428999999999</v>
      </c>
      <c r="H88" s="78">
        <v>227.66429000000016</v>
      </c>
      <c r="I88" s="159">
        <v>227.66428999999999</v>
      </c>
      <c r="J88" s="24"/>
      <c r="K88" s="188"/>
      <c r="L88" s="24"/>
      <c r="M88" s="188"/>
      <c r="N88" s="189"/>
    </row>
    <row r="89" spans="1:14" ht="72" customHeight="1" thickBot="1" x14ac:dyDescent="0.3">
      <c r="A89" s="284"/>
      <c r="B89" s="112" t="s">
        <v>26</v>
      </c>
      <c r="C89" s="52" t="s">
        <v>24</v>
      </c>
      <c r="D89" s="161">
        <v>1</v>
      </c>
      <c r="E89" s="162">
        <v>1</v>
      </c>
      <c r="F89" s="36">
        <f t="shared" si="6"/>
        <v>1139.787</v>
      </c>
      <c r="G89" s="137">
        <f t="shared" si="6"/>
        <v>1139.787</v>
      </c>
      <c r="H89" s="21">
        <v>1139.787</v>
      </c>
      <c r="I89" s="163">
        <v>1139.787</v>
      </c>
      <c r="J89" s="103"/>
      <c r="K89" s="190"/>
      <c r="L89" s="103"/>
      <c r="M89" s="190"/>
      <c r="N89" s="173"/>
    </row>
    <row r="90" spans="1:14" ht="31.5" x14ac:dyDescent="0.25">
      <c r="A90" s="101">
        <v>16</v>
      </c>
      <c r="B90" s="111" t="s">
        <v>17</v>
      </c>
      <c r="C90" s="51" t="s">
        <v>395</v>
      </c>
      <c r="D90" s="152" t="s">
        <v>396</v>
      </c>
      <c r="E90" s="104" t="s">
        <v>396</v>
      </c>
      <c r="F90" s="241">
        <f t="shared" si="6"/>
        <v>167100.79999999999</v>
      </c>
      <c r="G90" s="223">
        <f t="shared" si="6"/>
        <v>167100.79999999999</v>
      </c>
      <c r="H90" s="235">
        <v>167100.79999999999</v>
      </c>
      <c r="I90" s="226">
        <v>167100.79999999999</v>
      </c>
      <c r="J90" s="235"/>
      <c r="K90" s="226"/>
      <c r="L90" s="235"/>
      <c r="M90" s="226"/>
      <c r="N90" s="232"/>
    </row>
    <row r="91" spans="1:14" x14ac:dyDescent="0.25">
      <c r="A91" s="41" t="s">
        <v>397</v>
      </c>
      <c r="B91" s="117" t="s">
        <v>416</v>
      </c>
      <c r="C91" s="55" t="s">
        <v>394</v>
      </c>
      <c r="D91" s="156">
        <v>1</v>
      </c>
      <c r="E91" s="69">
        <v>1</v>
      </c>
      <c r="F91" s="242"/>
      <c r="G91" s="224"/>
      <c r="H91" s="236"/>
      <c r="I91" s="227"/>
      <c r="J91" s="236"/>
      <c r="K91" s="227"/>
      <c r="L91" s="236"/>
      <c r="M91" s="227"/>
      <c r="N91" s="233"/>
    </row>
    <row r="92" spans="1:14" x14ac:dyDescent="0.25">
      <c r="A92" s="41" t="s">
        <v>398</v>
      </c>
      <c r="B92" s="117" t="s">
        <v>417</v>
      </c>
      <c r="C92" s="55" t="s">
        <v>394</v>
      </c>
      <c r="D92" s="156">
        <v>1</v>
      </c>
      <c r="E92" s="69">
        <v>1</v>
      </c>
      <c r="F92" s="242"/>
      <c r="G92" s="224"/>
      <c r="H92" s="236"/>
      <c r="I92" s="227"/>
      <c r="J92" s="236"/>
      <c r="K92" s="227"/>
      <c r="L92" s="236"/>
      <c r="M92" s="227"/>
      <c r="N92" s="233"/>
    </row>
    <row r="93" spans="1:14" ht="47.25" x14ac:dyDescent="0.25">
      <c r="A93" s="41" t="s">
        <v>399</v>
      </c>
      <c r="B93" s="117" t="s">
        <v>418</v>
      </c>
      <c r="C93" s="55" t="s">
        <v>394</v>
      </c>
      <c r="D93" s="156">
        <v>1</v>
      </c>
      <c r="E93" s="69">
        <v>1</v>
      </c>
      <c r="F93" s="242"/>
      <c r="G93" s="224"/>
      <c r="H93" s="236"/>
      <c r="I93" s="227"/>
      <c r="J93" s="236"/>
      <c r="K93" s="227"/>
      <c r="L93" s="236"/>
      <c r="M93" s="227"/>
      <c r="N93" s="233"/>
    </row>
    <row r="94" spans="1:14" ht="31.5" x14ac:dyDescent="0.25">
      <c r="A94" s="41" t="s">
        <v>400</v>
      </c>
      <c r="B94" s="117" t="s">
        <v>419</v>
      </c>
      <c r="C94" s="55" t="s">
        <v>394</v>
      </c>
      <c r="D94" s="156">
        <v>1</v>
      </c>
      <c r="E94" s="69">
        <v>1</v>
      </c>
      <c r="F94" s="242"/>
      <c r="G94" s="224"/>
      <c r="H94" s="236"/>
      <c r="I94" s="227"/>
      <c r="J94" s="236"/>
      <c r="K94" s="227"/>
      <c r="L94" s="236"/>
      <c r="M94" s="227"/>
      <c r="N94" s="233"/>
    </row>
    <row r="95" spans="1:14" ht="16.5" thickBot="1" x14ac:dyDescent="0.3">
      <c r="A95" s="42" t="s">
        <v>401</v>
      </c>
      <c r="B95" s="122" t="s">
        <v>393</v>
      </c>
      <c r="C95" s="56" t="s">
        <v>311</v>
      </c>
      <c r="D95" s="174">
        <v>4</v>
      </c>
      <c r="E95" s="175">
        <v>4</v>
      </c>
      <c r="F95" s="243"/>
      <c r="G95" s="225"/>
      <c r="H95" s="237"/>
      <c r="I95" s="228"/>
      <c r="J95" s="237"/>
      <c r="K95" s="228"/>
      <c r="L95" s="237"/>
      <c r="M95" s="228"/>
      <c r="N95" s="234"/>
    </row>
    <row r="96" spans="1:14" ht="31.5" x14ac:dyDescent="0.25">
      <c r="A96" s="65">
        <v>17</v>
      </c>
      <c r="B96" s="119" t="s">
        <v>81</v>
      </c>
      <c r="C96" s="51" t="s">
        <v>439</v>
      </c>
      <c r="D96" s="152" t="s">
        <v>438</v>
      </c>
      <c r="E96" s="104" t="s">
        <v>438</v>
      </c>
      <c r="F96" s="241">
        <f>H96+J96+L96</f>
        <v>480387.58899999998</v>
      </c>
      <c r="G96" s="223">
        <f>I96+K96+M96</f>
        <v>473181.77500000002</v>
      </c>
      <c r="H96" s="238">
        <v>480387.58899999998</v>
      </c>
      <c r="I96" s="226">
        <v>473181.77500000002</v>
      </c>
      <c r="J96" s="238"/>
      <c r="K96" s="226"/>
      <c r="L96" s="269"/>
      <c r="M96" s="272"/>
      <c r="N96" s="220"/>
    </row>
    <row r="97" spans="1:14" x14ac:dyDescent="0.25">
      <c r="A97" s="66" t="s">
        <v>570</v>
      </c>
      <c r="B97" s="120" t="s">
        <v>420</v>
      </c>
      <c r="C97" s="55" t="s">
        <v>15</v>
      </c>
      <c r="D97" s="156">
        <v>24</v>
      </c>
      <c r="E97" s="69">
        <v>24</v>
      </c>
      <c r="F97" s="261"/>
      <c r="G97" s="224"/>
      <c r="H97" s="275"/>
      <c r="I97" s="227"/>
      <c r="J97" s="275"/>
      <c r="K97" s="227"/>
      <c r="L97" s="270"/>
      <c r="M97" s="273"/>
      <c r="N97" s="221"/>
    </row>
    <row r="98" spans="1:14" x14ac:dyDescent="0.25">
      <c r="A98" s="66" t="s">
        <v>571</v>
      </c>
      <c r="B98" s="120" t="s">
        <v>421</v>
      </c>
      <c r="C98" s="55" t="s">
        <v>15</v>
      </c>
      <c r="D98" s="156">
        <v>1</v>
      </c>
      <c r="E98" s="69">
        <v>1</v>
      </c>
      <c r="F98" s="261"/>
      <c r="G98" s="224"/>
      <c r="H98" s="275"/>
      <c r="I98" s="227"/>
      <c r="J98" s="275"/>
      <c r="K98" s="227"/>
      <c r="L98" s="270"/>
      <c r="M98" s="273"/>
      <c r="N98" s="221"/>
    </row>
    <row r="99" spans="1:14" x14ac:dyDescent="0.25">
      <c r="A99" s="66" t="s">
        <v>572</v>
      </c>
      <c r="B99" s="120" t="s">
        <v>422</v>
      </c>
      <c r="C99" s="55" t="s">
        <v>15</v>
      </c>
      <c r="D99" s="156">
        <v>28</v>
      </c>
      <c r="E99" s="69">
        <v>28</v>
      </c>
      <c r="F99" s="261"/>
      <c r="G99" s="224"/>
      <c r="H99" s="275"/>
      <c r="I99" s="227"/>
      <c r="J99" s="275"/>
      <c r="K99" s="227"/>
      <c r="L99" s="270"/>
      <c r="M99" s="273"/>
      <c r="N99" s="221"/>
    </row>
    <row r="100" spans="1:14" x14ac:dyDescent="0.25">
      <c r="A100" s="66" t="s">
        <v>573</v>
      </c>
      <c r="B100" s="120" t="s">
        <v>423</v>
      </c>
      <c r="C100" s="55" t="s">
        <v>15</v>
      </c>
      <c r="D100" s="156">
        <v>1</v>
      </c>
      <c r="E100" s="69">
        <v>1</v>
      </c>
      <c r="F100" s="261"/>
      <c r="G100" s="224"/>
      <c r="H100" s="275"/>
      <c r="I100" s="227"/>
      <c r="J100" s="275"/>
      <c r="K100" s="227"/>
      <c r="L100" s="270"/>
      <c r="M100" s="273"/>
      <c r="N100" s="221"/>
    </row>
    <row r="101" spans="1:14" x14ac:dyDescent="0.25">
      <c r="A101" s="66" t="s">
        <v>574</v>
      </c>
      <c r="B101" s="120" t="s">
        <v>424</v>
      </c>
      <c r="C101" s="55" t="s">
        <v>15</v>
      </c>
      <c r="D101" s="156">
        <v>2</v>
      </c>
      <c r="E101" s="69">
        <v>24</v>
      </c>
      <c r="F101" s="261"/>
      <c r="G101" s="224"/>
      <c r="H101" s="275"/>
      <c r="I101" s="227"/>
      <c r="J101" s="275"/>
      <c r="K101" s="227"/>
      <c r="L101" s="270"/>
      <c r="M101" s="273"/>
      <c r="N101" s="221"/>
    </row>
    <row r="102" spans="1:14" x14ac:dyDescent="0.25">
      <c r="A102" s="66" t="s">
        <v>575</v>
      </c>
      <c r="B102" s="120" t="s">
        <v>425</v>
      </c>
      <c r="C102" s="55" t="s">
        <v>15</v>
      </c>
      <c r="D102" s="156">
        <v>2</v>
      </c>
      <c r="E102" s="69">
        <v>7</v>
      </c>
      <c r="F102" s="261"/>
      <c r="G102" s="224"/>
      <c r="H102" s="275"/>
      <c r="I102" s="227"/>
      <c r="J102" s="275"/>
      <c r="K102" s="227"/>
      <c r="L102" s="270"/>
      <c r="M102" s="273"/>
      <c r="N102" s="221"/>
    </row>
    <row r="103" spans="1:14" x14ac:dyDescent="0.25">
      <c r="A103" s="66" t="s">
        <v>576</v>
      </c>
      <c r="B103" s="120" t="s">
        <v>426</v>
      </c>
      <c r="C103" s="55" t="s">
        <v>15</v>
      </c>
      <c r="D103" s="156">
        <v>1</v>
      </c>
      <c r="E103" s="69">
        <v>1</v>
      </c>
      <c r="F103" s="261"/>
      <c r="G103" s="224"/>
      <c r="H103" s="275"/>
      <c r="I103" s="227"/>
      <c r="J103" s="275"/>
      <c r="K103" s="227"/>
      <c r="L103" s="270"/>
      <c r="M103" s="273"/>
      <c r="N103" s="221"/>
    </row>
    <row r="104" spans="1:14" x14ac:dyDescent="0.25">
      <c r="A104" s="66" t="s">
        <v>577</v>
      </c>
      <c r="B104" s="120" t="s">
        <v>427</v>
      </c>
      <c r="C104" s="55" t="s">
        <v>15</v>
      </c>
      <c r="D104" s="156">
        <v>1</v>
      </c>
      <c r="E104" s="69">
        <v>1</v>
      </c>
      <c r="F104" s="261"/>
      <c r="G104" s="224"/>
      <c r="H104" s="275"/>
      <c r="I104" s="227"/>
      <c r="J104" s="275"/>
      <c r="K104" s="227"/>
      <c r="L104" s="270"/>
      <c r="M104" s="273"/>
      <c r="N104" s="221"/>
    </row>
    <row r="105" spans="1:14" ht="31.5" x14ac:dyDescent="0.25">
      <c r="A105" s="66" t="s">
        <v>578</v>
      </c>
      <c r="B105" s="120" t="s">
        <v>428</v>
      </c>
      <c r="C105" s="55" t="s">
        <v>15</v>
      </c>
      <c r="D105" s="156">
        <v>12</v>
      </c>
      <c r="E105" s="69">
        <v>12</v>
      </c>
      <c r="F105" s="261"/>
      <c r="G105" s="224"/>
      <c r="H105" s="275"/>
      <c r="I105" s="227"/>
      <c r="J105" s="275"/>
      <c r="K105" s="227"/>
      <c r="L105" s="270"/>
      <c r="M105" s="273"/>
      <c r="N105" s="221"/>
    </row>
    <row r="106" spans="1:14" ht="31.5" x14ac:dyDescent="0.25">
      <c r="A106" s="66" t="s">
        <v>579</v>
      </c>
      <c r="B106" s="120" t="s">
        <v>429</v>
      </c>
      <c r="C106" s="55" t="s">
        <v>15</v>
      </c>
      <c r="D106" s="156">
        <v>12</v>
      </c>
      <c r="E106" s="69">
        <v>12</v>
      </c>
      <c r="F106" s="261"/>
      <c r="G106" s="224"/>
      <c r="H106" s="275"/>
      <c r="I106" s="227"/>
      <c r="J106" s="275"/>
      <c r="K106" s="227"/>
      <c r="L106" s="270"/>
      <c r="M106" s="273"/>
      <c r="N106" s="221"/>
    </row>
    <row r="107" spans="1:14" ht="31.5" x14ac:dyDescent="0.25">
      <c r="A107" s="66" t="s">
        <v>580</v>
      </c>
      <c r="B107" s="120" t="s">
        <v>430</v>
      </c>
      <c r="C107" s="55" t="s">
        <v>15</v>
      </c>
      <c r="D107" s="156">
        <v>12</v>
      </c>
      <c r="E107" s="69">
        <v>12</v>
      </c>
      <c r="F107" s="261"/>
      <c r="G107" s="224"/>
      <c r="H107" s="275"/>
      <c r="I107" s="227"/>
      <c r="J107" s="275"/>
      <c r="K107" s="227"/>
      <c r="L107" s="270"/>
      <c r="M107" s="273"/>
      <c r="N107" s="221"/>
    </row>
    <row r="108" spans="1:14" ht="31.5" x14ac:dyDescent="0.25">
      <c r="A108" s="66" t="s">
        <v>581</v>
      </c>
      <c r="B108" s="120" t="s">
        <v>431</v>
      </c>
      <c r="C108" s="55" t="s">
        <v>15</v>
      </c>
      <c r="D108" s="156">
        <v>12</v>
      </c>
      <c r="E108" s="69">
        <v>12</v>
      </c>
      <c r="F108" s="261"/>
      <c r="G108" s="224"/>
      <c r="H108" s="275"/>
      <c r="I108" s="227"/>
      <c r="J108" s="275"/>
      <c r="K108" s="227"/>
      <c r="L108" s="270"/>
      <c r="M108" s="273"/>
      <c r="N108" s="221"/>
    </row>
    <row r="109" spans="1:14" ht="31.5" x14ac:dyDescent="0.25">
      <c r="A109" s="66" t="s">
        <v>582</v>
      </c>
      <c r="B109" s="120" t="s">
        <v>432</v>
      </c>
      <c r="C109" s="55" t="s">
        <v>15</v>
      </c>
      <c r="D109" s="156">
        <v>12</v>
      </c>
      <c r="E109" s="69">
        <v>12</v>
      </c>
      <c r="F109" s="261"/>
      <c r="G109" s="224"/>
      <c r="H109" s="275"/>
      <c r="I109" s="227"/>
      <c r="J109" s="275"/>
      <c r="K109" s="227"/>
      <c r="L109" s="270"/>
      <c r="M109" s="273"/>
      <c r="N109" s="221"/>
    </row>
    <row r="110" spans="1:14" ht="31.5" x14ac:dyDescent="0.25">
      <c r="A110" s="66" t="s">
        <v>583</v>
      </c>
      <c r="B110" s="120" t="s">
        <v>433</v>
      </c>
      <c r="C110" s="55" t="s">
        <v>295</v>
      </c>
      <c r="D110" s="156">
        <v>1</v>
      </c>
      <c r="E110" s="69">
        <v>1</v>
      </c>
      <c r="F110" s="261"/>
      <c r="G110" s="224"/>
      <c r="H110" s="275"/>
      <c r="I110" s="227"/>
      <c r="J110" s="275"/>
      <c r="K110" s="227"/>
      <c r="L110" s="270"/>
      <c r="M110" s="273"/>
      <c r="N110" s="221"/>
    </row>
    <row r="111" spans="1:14" ht="32.25" thickBot="1" x14ac:dyDescent="0.3">
      <c r="A111" s="67" t="s">
        <v>616</v>
      </c>
      <c r="B111" s="151" t="s">
        <v>617</v>
      </c>
      <c r="C111" s="56" t="s">
        <v>15</v>
      </c>
      <c r="D111" s="174"/>
      <c r="E111" s="175">
        <v>3</v>
      </c>
      <c r="F111" s="262"/>
      <c r="G111" s="225"/>
      <c r="H111" s="276"/>
      <c r="I111" s="228"/>
      <c r="J111" s="276"/>
      <c r="K111" s="228"/>
      <c r="L111" s="271"/>
      <c r="M111" s="274"/>
      <c r="N111" s="222"/>
    </row>
    <row r="112" spans="1:14" ht="63" x14ac:dyDescent="0.25">
      <c r="A112" s="101">
        <v>18</v>
      </c>
      <c r="B112" s="111" t="s">
        <v>82</v>
      </c>
      <c r="C112" s="57" t="s">
        <v>19</v>
      </c>
      <c r="D112" s="185">
        <v>1</v>
      </c>
      <c r="E112" s="193">
        <v>1</v>
      </c>
      <c r="F112" s="241">
        <f>H112+J112+L112</f>
        <v>472200</v>
      </c>
      <c r="G112" s="223">
        <f>I112+K112+M112</f>
        <v>472000</v>
      </c>
      <c r="H112" s="235">
        <v>472200</v>
      </c>
      <c r="I112" s="226">
        <v>472000</v>
      </c>
      <c r="J112" s="235"/>
      <c r="K112" s="226"/>
      <c r="L112" s="235"/>
      <c r="M112" s="226"/>
      <c r="N112" s="232"/>
    </row>
    <row r="113" spans="1:14" ht="47.25" x14ac:dyDescent="0.25">
      <c r="A113" s="41" t="s">
        <v>584</v>
      </c>
      <c r="B113" s="117" t="s">
        <v>434</v>
      </c>
      <c r="C113" s="53" t="s">
        <v>588</v>
      </c>
      <c r="D113" s="156">
        <v>1</v>
      </c>
      <c r="E113" s="69">
        <v>6</v>
      </c>
      <c r="F113" s="242"/>
      <c r="G113" s="224"/>
      <c r="H113" s="236"/>
      <c r="I113" s="227"/>
      <c r="J113" s="236"/>
      <c r="K113" s="227"/>
      <c r="L113" s="236"/>
      <c r="M113" s="227"/>
      <c r="N113" s="233"/>
    </row>
    <row r="114" spans="1:14" ht="31.5" x14ac:dyDescent="0.25">
      <c r="A114" s="41" t="s">
        <v>585</v>
      </c>
      <c r="B114" s="117" t="s">
        <v>435</v>
      </c>
      <c r="C114" s="55"/>
      <c r="D114" s="156"/>
      <c r="E114" s="69"/>
      <c r="F114" s="242"/>
      <c r="G114" s="224"/>
      <c r="H114" s="236"/>
      <c r="I114" s="227"/>
      <c r="J114" s="236"/>
      <c r="K114" s="227"/>
      <c r="L114" s="236"/>
      <c r="M114" s="227"/>
      <c r="N114" s="233"/>
    </row>
    <row r="115" spans="1:14" ht="47.25" x14ac:dyDescent="0.25">
      <c r="A115" s="41" t="s">
        <v>586</v>
      </c>
      <c r="B115" s="117" t="s">
        <v>436</v>
      </c>
      <c r="C115" s="55" t="s">
        <v>19</v>
      </c>
      <c r="D115" s="156">
        <v>1</v>
      </c>
      <c r="E115" s="69">
        <v>1</v>
      </c>
      <c r="F115" s="242"/>
      <c r="G115" s="224"/>
      <c r="H115" s="236"/>
      <c r="I115" s="227"/>
      <c r="J115" s="236"/>
      <c r="K115" s="227"/>
      <c r="L115" s="236"/>
      <c r="M115" s="227"/>
      <c r="N115" s="233"/>
    </row>
    <row r="116" spans="1:14" ht="32.25" thickBot="1" x14ac:dyDescent="0.3">
      <c r="A116" s="42" t="s">
        <v>587</v>
      </c>
      <c r="B116" s="122" t="s">
        <v>437</v>
      </c>
      <c r="C116" s="56" t="s">
        <v>19</v>
      </c>
      <c r="D116" s="174">
        <v>1</v>
      </c>
      <c r="E116" s="175">
        <v>1</v>
      </c>
      <c r="F116" s="243"/>
      <c r="G116" s="225"/>
      <c r="H116" s="237"/>
      <c r="I116" s="228"/>
      <c r="J116" s="237"/>
      <c r="K116" s="228"/>
      <c r="L116" s="237"/>
      <c r="M116" s="228"/>
      <c r="N116" s="234"/>
    </row>
    <row r="117" spans="1:14" ht="94.5" x14ac:dyDescent="0.25">
      <c r="A117" s="255">
        <v>19</v>
      </c>
      <c r="B117" s="111" t="s">
        <v>28</v>
      </c>
      <c r="C117" s="57" t="s">
        <v>16</v>
      </c>
      <c r="D117" s="152">
        <v>1</v>
      </c>
      <c r="E117" s="104">
        <v>1</v>
      </c>
      <c r="F117" s="75">
        <f t="shared" ref="F117:G120" si="7">H117+J117+L117</f>
        <v>14391.166228071401</v>
      </c>
      <c r="G117" s="135">
        <f t="shared" si="7"/>
        <v>14391.166220000001</v>
      </c>
      <c r="H117" s="78">
        <v>14391.166228071401</v>
      </c>
      <c r="I117" s="159">
        <v>14391.166220000001</v>
      </c>
      <c r="J117" s="25"/>
      <c r="K117" s="194"/>
      <c r="L117" s="25"/>
      <c r="M117" s="194"/>
      <c r="N117" s="195"/>
    </row>
    <row r="118" spans="1:14" ht="111" thickBot="1" x14ac:dyDescent="0.3">
      <c r="A118" s="284"/>
      <c r="B118" s="112" t="s">
        <v>29</v>
      </c>
      <c r="C118" s="52" t="s">
        <v>24</v>
      </c>
      <c r="D118" s="161">
        <v>1</v>
      </c>
      <c r="E118" s="162">
        <v>1</v>
      </c>
      <c r="F118" s="36">
        <f t="shared" si="7"/>
        <v>2605.857</v>
      </c>
      <c r="G118" s="137">
        <f t="shared" si="7"/>
        <v>2605.857</v>
      </c>
      <c r="H118" s="21">
        <v>2605.857</v>
      </c>
      <c r="I118" s="163">
        <v>2605.857</v>
      </c>
      <c r="J118" s="26"/>
      <c r="K118" s="196"/>
      <c r="L118" s="26"/>
      <c r="M118" s="196"/>
      <c r="N118" s="197"/>
    </row>
    <row r="119" spans="1:14" ht="16.5" thickBot="1" x14ac:dyDescent="0.3">
      <c r="A119" s="46"/>
      <c r="B119" s="113" t="s">
        <v>14</v>
      </c>
      <c r="C119" s="50"/>
      <c r="D119" s="49"/>
      <c r="E119" s="127"/>
      <c r="F119" s="30">
        <f t="shared" si="7"/>
        <v>3663961.2266433309</v>
      </c>
      <c r="G119" s="167">
        <f t="shared" si="7"/>
        <v>3637508.6584500005</v>
      </c>
      <c r="H119" s="27">
        <f>SUM(H120:H206)</f>
        <v>3663961.2266433309</v>
      </c>
      <c r="I119" s="198">
        <f t="shared" ref="I119:M119" si="8">SUM(I120:I206)</f>
        <v>3637508.6584500005</v>
      </c>
      <c r="J119" s="27">
        <f t="shared" si="8"/>
        <v>0</v>
      </c>
      <c r="K119" s="198">
        <f t="shared" si="8"/>
        <v>0</v>
      </c>
      <c r="L119" s="27">
        <f t="shared" si="8"/>
        <v>0</v>
      </c>
      <c r="M119" s="198">
        <f t="shared" si="8"/>
        <v>0</v>
      </c>
      <c r="N119" s="61">
        <f>SUM(N120:N206)</f>
        <v>0</v>
      </c>
    </row>
    <row r="120" spans="1:14" ht="63" x14ac:dyDescent="0.25">
      <c r="A120" s="101">
        <v>20</v>
      </c>
      <c r="B120" s="111" t="s">
        <v>13</v>
      </c>
      <c r="C120" s="51" t="s">
        <v>479</v>
      </c>
      <c r="D120" s="152" t="s">
        <v>480</v>
      </c>
      <c r="E120" s="104" t="s">
        <v>635</v>
      </c>
      <c r="F120" s="241">
        <f t="shared" si="7"/>
        <v>2000000</v>
      </c>
      <c r="G120" s="223">
        <f t="shared" si="7"/>
        <v>1999999.9999900002</v>
      </c>
      <c r="H120" s="235">
        <v>2000000</v>
      </c>
      <c r="I120" s="226">
        <v>1999999.9999900002</v>
      </c>
      <c r="J120" s="235"/>
      <c r="K120" s="226"/>
      <c r="L120" s="235"/>
      <c r="M120" s="226"/>
      <c r="N120" s="232"/>
    </row>
    <row r="121" spans="1:14" x14ac:dyDescent="0.25">
      <c r="A121" s="41" t="s">
        <v>457</v>
      </c>
      <c r="B121" s="117" t="s">
        <v>440</v>
      </c>
      <c r="C121" s="55" t="s">
        <v>352</v>
      </c>
      <c r="D121" s="156">
        <v>1</v>
      </c>
      <c r="E121" s="69">
        <v>1</v>
      </c>
      <c r="F121" s="242"/>
      <c r="G121" s="224"/>
      <c r="H121" s="236"/>
      <c r="I121" s="227"/>
      <c r="J121" s="236"/>
      <c r="K121" s="227"/>
      <c r="L121" s="236"/>
      <c r="M121" s="227"/>
      <c r="N121" s="233"/>
    </row>
    <row r="122" spans="1:14" ht="283.5" x14ac:dyDescent="0.25">
      <c r="A122" s="41"/>
      <c r="B122" s="117" t="s">
        <v>633</v>
      </c>
      <c r="C122" s="55" t="s">
        <v>352</v>
      </c>
      <c r="D122" s="156"/>
      <c r="E122" s="69">
        <v>1</v>
      </c>
      <c r="F122" s="242"/>
      <c r="G122" s="224"/>
      <c r="H122" s="236"/>
      <c r="I122" s="227"/>
      <c r="J122" s="236"/>
      <c r="K122" s="227"/>
      <c r="L122" s="236"/>
      <c r="M122" s="227"/>
      <c r="N122" s="233"/>
    </row>
    <row r="123" spans="1:14" ht="126" x14ac:dyDescent="0.25">
      <c r="A123" s="41" t="s">
        <v>458</v>
      </c>
      <c r="B123" s="117" t="s">
        <v>441</v>
      </c>
      <c r="C123" s="55" t="s">
        <v>352</v>
      </c>
      <c r="D123" s="156">
        <v>1</v>
      </c>
      <c r="E123" s="69"/>
      <c r="F123" s="242"/>
      <c r="G123" s="224"/>
      <c r="H123" s="236"/>
      <c r="I123" s="227"/>
      <c r="J123" s="236"/>
      <c r="K123" s="227"/>
      <c r="L123" s="236"/>
      <c r="M123" s="227"/>
      <c r="N123" s="233"/>
    </row>
    <row r="124" spans="1:14" ht="31.5" x14ac:dyDescent="0.25">
      <c r="A124" s="41" t="s">
        <v>459</v>
      </c>
      <c r="B124" s="117" t="s">
        <v>442</v>
      </c>
      <c r="C124" s="55" t="s">
        <v>352</v>
      </c>
      <c r="D124" s="156">
        <v>1</v>
      </c>
      <c r="E124" s="69">
        <v>1</v>
      </c>
      <c r="F124" s="242"/>
      <c r="G124" s="224"/>
      <c r="H124" s="236"/>
      <c r="I124" s="227"/>
      <c r="J124" s="236"/>
      <c r="K124" s="227"/>
      <c r="L124" s="236"/>
      <c r="M124" s="227"/>
      <c r="N124" s="233"/>
    </row>
    <row r="125" spans="1:14" ht="31.5" x14ac:dyDescent="0.25">
      <c r="A125" s="41" t="s">
        <v>460</v>
      </c>
      <c r="B125" s="117" t="s">
        <v>443</v>
      </c>
      <c r="C125" s="55" t="s">
        <v>444</v>
      </c>
      <c r="D125" s="156">
        <v>1</v>
      </c>
      <c r="E125" s="69">
        <v>1</v>
      </c>
      <c r="F125" s="242"/>
      <c r="G125" s="224"/>
      <c r="H125" s="236"/>
      <c r="I125" s="227"/>
      <c r="J125" s="236"/>
      <c r="K125" s="227"/>
      <c r="L125" s="236"/>
      <c r="M125" s="227"/>
      <c r="N125" s="233"/>
    </row>
    <row r="126" spans="1:14" ht="63" x14ac:dyDescent="0.25">
      <c r="A126" s="41" t="s">
        <v>461</v>
      </c>
      <c r="B126" s="117" t="s">
        <v>445</v>
      </c>
      <c r="C126" s="55" t="s">
        <v>303</v>
      </c>
      <c r="D126" s="156">
        <v>100.39</v>
      </c>
      <c r="E126" s="69">
        <v>100.39</v>
      </c>
      <c r="F126" s="242"/>
      <c r="G126" s="224"/>
      <c r="H126" s="236"/>
      <c r="I126" s="227"/>
      <c r="J126" s="236"/>
      <c r="K126" s="227"/>
      <c r="L126" s="236"/>
      <c r="M126" s="227"/>
      <c r="N126" s="233"/>
    </row>
    <row r="127" spans="1:14" ht="31.5" x14ac:dyDescent="0.25">
      <c r="A127" s="41" t="s">
        <v>462</v>
      </c>
      <c r="B127" s="117" t="s">
        <v>634</v>
      </c>
      <c r="C127" s="55" t="s">
        <v>311</v>
      </c>
      <c r="D127" s="156"/>
      <c r="E127" s="69">
        <v>6</v>
      </c>
      <c r="F127" s="242"/>
      <c r="G127" s="224"/>
      <c r="H127" s="236"/>
      <c r="I127" s="227"/>
      <c r="J127" s="236"/>
      <c r="K127" s="227"/>
      <c r="L127" s="236"/>
      <c r="M127" s="227"/>
      <c r="N127" s="233"/>
    </row>
    <row r="128" spans="1:14" x14ac:dyDescent="0.25">
      <c r="A128" s="41" t="s">
        <v>463</v>
      </c>
      <c r="B128" s="117" t="s">
        <v>446</v>
      </c>
      <c r="C128" s="55" t="s">
        <v>352</v>
      </c>
      <c r="D128" s="156">
        <v>1</v>
      </c>
      <c r="E128" s="69"/>
      <c r="F128" s="242"/>
      <c r="G128" s="224"/>
      <c r="H128" s="236"/>
      <c r="I128" s="227"/>
      <c r="J128" s="236"/>
      <c r="K128" s="227"/>
      <c r="L128" s="236"/>
      <c r="M128" s="227"/>
      <c r="N128" s="233"/>
    </row>
    <row r="129" spans="1:14" x14ac:dyDescent="0.25">
      <c r="A129" s="41" t="s">
        <v>464</v>
      </c>
      <c r="B129" s="117" t="s">
        <v>447</v>
      </c>
      <c r="C129" s="55" t="s">
        <v>352</v>
      </c>
      <c r="D129" s="156">
        <v>1</v>
      </c>
      <c r="E129" s="69"/>
      <c r="F129" s="242"/>
      <c r="G129" s="224"/>
      <c r="H129" s="236"/>
      <c r="I129" s="227"/>
      <c r="J129" s="236"/>
      <c r="K129" s="227"/>
      <c r="L129" s="236"/>
      <c r="M129" s="227"/>
      <c r="N129" s="233"/>
    </row>
    <row r="130" spans="1:14" ht="31.5" x14ac:dyDescent="0.25">
      <c r="A130" s="41" t="s">
        <v>465</v>
      </c>
      <c r="B130" s="117" t="s">
        <v>448</v>
      </c>
      <c r="C130" s="55" t="s">
        <v>311</v>
      </c>
      <c r="D130" s="156">
        <v>1</v>
      </c>
      <c r="E130" s="69">
        <v>1</v>
      </c>
      <c r="F130" s="242"/>
      <c r="G130" s="224"/>
      <c r="H130" s="236"/>
      <c r="I130" s="227"/>
      <c r="J130" s="236"/>
      <c r="K130" s="227"/>
      <c r="L130" s="236"/>
      <c r="M130" s="227"/>
      <c r="N130" s="233"/>
    </row>
    <row r="131" spans="1:14" ht="31.5" x14ac:dyDescent="0.25">
      <c r="A131" s="41" t="s">
        <v>466</v>
      </c>
      <c r="B131" s="117" t="s">
        <v>449</v>
      </c>
      <c r="C131" s="55" t="s">
        <v>311</v>
      </c>
      <c r="D131" s="156">
        <v>2</v>
      </c>
      <c r="E131" s="69"/>
      <c r="F131" s="242"/>
      <c r="G131" s="224"/>
      <c r="H131" s="236"/>
      <c r="I131" s="227"/>
      <c r="J131" s="236"/>
      <c r="K131" s="227"/>
      <c r="L131" s="236"/>
      <c r="M131" s="227"/>
      <c r="N131" s="233"/>
    </row>
    <row r="132" spans="1:14" ht="47.25" x14ac:dyDescent="0.25">
      <c r="A132" s="41" t="s">
        <v>467</v>
      </c>
      <c r="B132" s="117" t="s">
        <v>450</v>
      </c>
      <c r="C132" s="55" t="s">
        <v>311</v>
      </c>
      <c r="D132" s="156">
        <v>2</v>
      </c>
      <c r="E132" s="69"/>
      <c r="F132" s="242"/>
      <c r="G132" s="224"/>
      <c r="H132" s="236"/>
      <c r="I132" s="227"/>
      <c r="J132" s="236"/>
      <c r="K132" s="227"/>
      <c r="L132" s="236"/>
      <c r="M132" s="227"/>
      <c r="N132" s="233"/>
    </row>
    <row r="133" spans="1:14" ht="31.5" x14ac:dyDescent="0.25">
      <c r="A133" s="41" t="s">
        <v>468</v>
      </c>
      <c r="B133" s="117" t="s">
        <v>451</v>
      </c>
      <c r="C133" s="55" t="s">
        <v>311</v>
      </c>
      <c r="D133" s="156">
        <v>1</v>
      </c>
      <c r="E133" s="69"/>
      <c r="F133" s="242"/>
      <c r="G133" s="224"/>
      <c r="H133" s="236"/>
      <c r="I133" s="227"/>
      <c r="J133" s="236"/>
      <c r="K133" s="227"/>
      <c r="L133" s="236"/>
      <c r="M133" s="227"/>
      <c r="N133" s="233"/>
    </row>
    <row r="134" spans="1:14" ht="47.25" x14ac:dyDescent="0.25">
      <c r="A134" s="41" t="s">
        <v>469</v>
      </c>
      <c r="B134" s="117" t="s">
        <v>452</v>
      </c>
      <c r="C134" s="55" t="s">
        <v>311</v>
      </c>
      <c r="D134" s="156">
        <v>1</v>
      </c>
      <c r="E134" s="69"/>
      <c r="F134" s="242"/>
      <c r="G134" s="224"/>
      <c r="H134" s="236"/>
      <c r="I134" s="227"/>
      <c r="J134" s="236"/>
      <c r="K134" s="227"/>
      <c r="L134" s="236"/>
      <c r="M134" s="227"/>
      <c r="N134" s="233"/>
    </row>
    <row r="135" spans="1:14" ht="31.5" x14ac:dyDescent="0.25">
      <c r="A135" s="41" t="s">
        <v>470</v>
      </c>
      <c r="B135" s="117" t="s">
        <v>453</v>
      </c>
      <c r="C135" s="55" t="s">
        <v>311</v>
      </c>
      <c r="D135" s="156">
        <v>2</v>
      </c>
      <c r="E135" s="69">
        <v>2</v>
      </c>
      <c r="F135" s="242"/>
      <c r="G135" s="224"/>
      <c r="H135" s="236"/>
      <c r="I135" s="227"/>
      <c r="J135" s="236"/>
      <c r="K135" s="227"/>
      <c r="L135" s="236"/>
      <c r="M135" s="227"/>
      <c r="N135" s="233"/>
    </row>
    <row r="136" spans="1:14" ht="31.5" x14ac:dyDescent="0.25">
      <c r="A136" s="41" t="s">
        <v>471</v>
      </c>
      <c r="B136" s="117" t="s">
        <v>454</v>
      </c>
      <c r="C136" s="55" t="s">
        <v>322</v>
      </c>
      <c r="D136" s="156">
        <v>1</v>
      </c>
      <c r="E136" s="69">
        <v>1</v>
      </c>
      <c r="F136" s="242"/>
      <c r="G136" s="224"/>
      <c r="H136" s="236"/>
      <c r="I136" s="227"/>
      <c r="J136" s="236"/>
      <c r="K136" s="227"/>
      <c r="L136" s="236"/>
      <c r="M136" s="227"/>
      <c r="N136" s="233"/>
    </row>
    <row r="137" spans="1:14" x14ac:dyDescent="0.25">
      <c r="A137" s="41" t="s">
        <v>472</v>
      </c>
      <c r="B137" s="117" t="s">
        <v>455</v>
      </c>
      <c r="C137" s="55" t="s">
        <v>322</v>
      </c>
      <c r="D137" s="156">
        <v>1</v>
      </c>
      <c r="E137" s="69"/>
      <c r="F137" s="242"/>
      <c r="G137" s="224"/>
      <c r="H137" s="236"/>
      <c r="I137" s="227"/>
      <c r="J137" s="236"/>
      <c r="K137" s="227"/>
      <c r="L137" s="236"/>
      <c r="M137" s="227"/>
      <c r="N137" s="233"/>
    </row>
    <row r="138" spans="1:14" ht="47.25" x14ac:dyDescent="0.25">
      <c r="A138" s="41" t="s">
        <v>473</v>
      </c>
      <c r="B138" s="117" t="s">
        <v>456</v>
      </c>
      <c r="C138" s="55" t="s">
        <v>15</v>
      </c>
      <c r="D138" s="156">
        <v>1</v>
      </c>
      <c r="E138" s="69"/>
      <c r="F138" s="242"/>
      <c r="G138" s="224"/>
      <c r="H138" s="236"/>
      <c r="I138" s="227"/>
      <c r="J138" s="236"/>
      <c r="K138" s="227"/>
      <c r="L138" s="236"/>
      <c r="M138" s="227"/>
      <c r="N138" s="233"/>
    </row>
    <row r="139" spans="1:14" ht="63" x14ac:dyDescent="0.25">
      <c r="A139" s="41" t="s">
        <v>474</v>
      </c>
      <c r="B139" s="117" t="s">
        <v>478</v>
      </c>
      <c r="C139" s="55" t="s">
        <v>352</v>
      </c>
      <c r="D139" s="156">
        <v>1</v>
      </c>
      <c r="E139" s="69">
        <v>1</v>
      </c>
      <c r="F139" s="242"/>
      <c r="G139" s="224"/>
      <c r="H139" s="236"/>
      <c r="I139" s="227"/>
      <c r="J139" s="236"/>
      <c r="K139" s="227"/>
      <c r="L139" s="236"/>
      <c r="M139" s="227"/>
      <c r="N139" s="233"/>
    </row>
    <row r="140" spans="1:14" ht="47.25" x14ac:dyDescent="0.25">
      <c r="A140" s="41" t="s">
        <v>475</v>
      </c>
      <c r="B140" s="117" t="s">
        <v>477</v>
      </c>
      <c r="C140" s="55" t="s">
        <v>352</v>
      </c>
      <c r="D140" s="156">
        <v>1</v>
      </c>
      <c r="E140" s="69">
        <v>1</v>
      </c>
      <c r="F140" s="242"/>
      <c r="G140" s="224"/>
      <c r="H140" s="236"/>
      <c r="I140" s="227"/>
      <c r="J140" s="236"/>
      <c r="K140" s="227"/>
      <c r="L140" s="236"/>
      <c r="M140" s="227"/>
      <c r="N140" s="233"/>
    </row>
    <row r="141" spans="1:14" ht="48" thickBot="1" x14ac:dyDescent="0.3">
      <c r="A141" s="42" t="s">
        <v>672</v>
      </c>
      <c r="B141" s="122" t="s">
        <v>476</v>
      </c>
      <c r="C141" s="56" t="s">
        <v>352</v>
      </c>
      <c r="D141" s="174">
        <v>1</v>
      </c>
      <c r="E141" s="175">
        <v>1</v>
      </c>
      <c r="F141" s="243"/>
      <c r="G141" s="225"/>
      <c r="H141" s="237"/>
      <c r="I141" s="228"/>
      <c r="J141" s="237"/>
      <c r="K141" s="228"/>
      <c r="L141" s="237"/>
      <c r="M141" s="228"/>
      <c r="N141" s="234"/>
    </row>
    <row r="142" spans="1:14" ht="63.75" thickBot="1" x14ac:dyDescent="0.3">
      <c r="A142" s="102">
        <v>21</v>
      </c>
      <c r="B142" s="199" t="s">
        <v>83</v>
      </c>
      <c r="C142" s="11" t="s">
        <v>18</v>
      </c>
      <c r="D142" s="200">
        <v>1</v>
      </c>
      <c r="E142" s="201"/>
      <c r="F142" s="107">
        <f t="shared" ref="F142:G145" si="9">H142+J142+L142</f>
        <v>26452.568449999999</v>
      </c>
      <c r="G142" s="181">
        <f t="shared" si="9"/>
        <v>0</v>
      </c>
      <c r="H142" s="77">
        <v>26452.568449999999</v>
      </c>
      <c r="I142" s="202">
        <v>0</v>
      </c>
      <c r="J142" s="22"/>
      <c r="K142" s="183"/>
      <c r="L142" s="22"/>
      <c r="M142" s="183"/>
      <c r="N142" s="184"/>
    </row>
    <row r="143" spans="1:14" ht="32.25" thickBot="1" x14ac:dyDescent="0.3">
      <c r="A143" s="40">
        <v>22</v>
      </c>
      <c r="B143" s="113" t="s">
        <v>39</v>
      </c>
      <c r="C143" s="4" t="s">
        <v>16</v>
      </c>
      <c r="D143" s="203">
        <v>1</v>
      </c>
      <c r="E143" s="204">
        <v>1</v>
      </c>
      <c r="F143" s="30">
        <f t="shared" si="9"/>
        <v>8400</v>
      </c>
      <c r="G143" s="167">
        <f t="shared" si="9"/>
        <v>8400</v>
      </c>
      <c r="H143" s="32">
        <v>8400</v>
      </c>
      <c r="I143" s="168">
        <v>8400</v>
      </c>
      <c r="J143" s="23"/>
      <c r="K143" s="177"/>
      <c r="L143" s="23"/>
      <c r="M143" s="177"/>
      <c r="N143" s="178"/>
    </row>
    <row r="144" spans="1:14" ht="95.25" thickBot="1" x14ac:dyDescent="0.3">
      <c r="A144" s="40">
        <v>23</v>
      </c>
      <c r="B144" s="113" t="s">
        <v>84</v>
      </c>
      <c r="C144" s="6" t="s">
        <v>85</v>
      </c>
      <c r="D144" s="203">
        <v>1</v>
      </c>
      <c r="E144" s="204">
        <v>1</v>
      </c>
      <c r="F144" s="30">
        <f t="shared" si="9"/>
        <v>2880</v>
      </c>
      <c r="G144" s="167">
        <f t="shared" si="9"/>
        <v>2880</v>
      </c>
      <c r="H144" s="32">
        <v>2880</v>
      </c>
      <c r="I144" s="168">
        <v>2880</v>
      </c>
      <c r="J144" s="23"/>
      <c r="K144" s="177"/>
      <c r="L144" s="23"/>
      <c r="M144" s="177"/>
      <c r="N144" s="178"/>
    </row>
    <row r="145" spans="1:14" ht="63" x14ac:dyDescent="0.25">
      <c r="A145" s="101">
        <v>24</v>
      </c>
      <c r="B145" s="111" t="s">
        <v>30</v>
      </c>
      <c r="C145" s="51" t="s">
        <v>524</v>
      </c>
      <c r="D145" s="152" t="s">
        <v>525</v>
      </c>
      <c r="E145" s="104" t="s">
        <v>525</v>
      </c>
      <c r="F145" s="241">
        <f t="shared" si="9"/>
        <v>49053.759123000003</v>
      </c>
      <c r="G145" s="223">
        <f t="shared" si="9"/>
        <v>49053.75937</v>
      </c>
      <c r="H145" s="235">
        <v>49053.759123000003</v>
      </c>
      <c r="I145" s="226">
        <v>49053.75937</v>
      </c>
      <c r="J145" s="235"/>
      <c r="K145" s="226"/>
      <c r="L145" s="235"/>
      <c r="M145" s="226"/>
      <c r="N145" s="232"/>
    </row>
    <row r="146" spans="1:14" ht="31.5" x14ac:dyDescent="0.25">
      <c r="A146" s="47" t="s">
        <v>503</v>
      </c>
      <c r="B146" s="117" t="s">
        <v>481</v>
      </c>
      <c r="C146" s="58" t="s">
        <v>310</v>
      </c>
      <c r="D146" s="157">
        <v>4.28</v>
      </c>
      <c r="E146" s="133">
        <v>4.28</v>
      </c>
      <c r="F146" s="285"/>
      <c r="G146" s="224"/>
      <c r="H146" s="287"/>
      <c r="I146" s="227"/>
      <c r="J146" s="287"/>
      <c r="K146" s="227"/>
      <c r="L146" s="287"/>
      <c r="M146" s="227"/>
      <c r="N146" s="289"/>
    </row>
    <row r="147" spans="1:14" ht="31.5" x14ac:dyDescent="0.25">
      <c r="A147" s="47" t="s">
        <v>504</v>
      </c>
      <c r="B147" s="117" t="s">
        <v>482</v>
      </c>
      <c r="C147" s="58" t="s">
        <v>310</v>
      </c>
      <c r="D147" s="157">
        <v>1.8240000000000001</v>
      </c>
      <c r="E147" s="133">
        <v>1.8240000000000001</v>
      </c>
      <c r="F147" s="285"/>
      <c r="G147" s="224"/>
      <c r="H147" s="287"/>
      <c r="I147" s="227"/>
      <c r="J147" s="287"/>
      <c r="K147" s="227"/>
      <c r="L147" s="287"/>
      <c r="M147" s="227"/>
      <c r="N147" s="289"/>
    </row>
    <row r="148" spans="1:14" ht="31.5" x14ac:dyDescent="0.25">
      <c r="A148" s="47" t="s">
        <v>505</v>
      </c>
      <c r="B148" s="117" t="s">
        <v>483</v>
      </c>
      <c r="C148" s="58" t="s">
        <v>15</v>
      </c>
      <c r="D148" s="157">
        <v>1</v>
      </c>
      <c r="E148" s="133">
        <v>1</v>
      </c>
      <c r="F148" s="285"/>
      <c r="G148" s="224"/>
      <c r="H148" s="287"/>
      <c r="I148" s="227"/>
      <c r="J148" s="287"/>
      <c r="K148" s="227"/>
      <c r="L148" s="287"/>
      <c r="M148" s="227"/>
      <c r="N148" s="289"/>
    </row>
    <row r="149" spans="1:14" ht="31.5" x14ac:dyDescent="0.25">
      <c r="A149" s="47" t="s">
        <v>506</v>
      </c>
      <c r="B149" s="117" t="s">
        <v>484</v>
      </c>
      <c r="C149" s="58" t="s">
        <v>310</v>
      </c>
      <c r="D149" s="157">
        <v>0.4</v>
      </c>
      <c r="E149" s="133">
        <v>0.4</v>
      </c>
      <c r="F149" s="285"/>
      <c r="G149" s="224"/>
      <c r="H149" s="287"/>
      <c r="I149" s="227"/>
      <c r="J149" s="287"/>
      <c r="K149" s="227"/>
      <c r="L149" s="287"/>
      <c r="M149" s="227"/>
      <c r="N149" s="289"/>
    </row>
    <row r="150" spans="1:14" ht="31.5" x14ac:dyDescent="0.25">
      <c r="A150" s="47" t="s">
        <v>507</v>
      </c>
      <c r="B150" s="117" t="s">
        <v>485</v>
      </c>
      <c r="C150" s="58" t="s">
        <v>15</v>
      </c>
      <c r="D150" s="157">
        <v>1</v>
      </c>
      <c r="E150" s="133">
        <v>1</v>
      </c>
      <c r="F150" s="285"/>
      <c r="G150" s="224"/>
      <c r="H150" s="287"/>
      <c r="I150" s="227"/>
      <c r="J150" s="287"/>
      <c r="K150" s="227"/>
      <c r="L150" s="287"/>
      <c r="M150" s="227"/>
      <c r="N150" s="289"/>
    </row>
    <row r="151" spans="1:14" ht="31.5" x14ac:dyDescent="0.25">
      <c r="A151" s="47" t="s">
        <v>508</v>
      </c>
      <c r="B151" s="117" t="s">
        <v>486</v>
      </c>
      <c r="C151" s="58" t="s">
        <v>15</v>
      </c>
      <c r="D151" s="157">
        <v>5</v>
      </c>
      <c r="E151" s="133">
        <v>5</v>
      </c>
      <c r="F151" s="285"/>
      <c r="G151" s="224"/>
      <c r="H151" s="287"/>
      <c r="I151" s="227"/>
      <c r="J151" s="287"/>
      <c r="K151" s="227"/>
      <c r="L151" s="287"/>
      <c r="M151" s="227"/>
      <c r="N151" s="289"/>
    </row>
    <row r="152" spans="1:14" x14ac:dyDescent="0.25">
      <c r="A152" s="47" t="s">
        <v>509</v>
      </c>
      <c r="B152" s="117" t="s">
        <v>487</v>
      </c>
      <c r="C152" s="58" t="s">
        <v>488</v>
      </c>
      <c r="D152" s="157">
        <v>27</v>
      </c>
      <c r="E152" s="133">
        <v>27</v>
      </c>
      <c r="F152" s="285"/>
      <c r="G152" s="224"/>
      <c r="H152" s="287"/>
      <c r="I152" s="227"/>
      <c r="J152" s="287"/>
      <c r="K152" s="227"/>
      <c r="L152" s="287"/>
      <c r="M152" s="227"/>
      <c r="N152" s="289"/>
    </row>
    <row r="153" spans="1:14" x14ac:dyDescent="0.25">
      <c r="A153" s="47" t="s">
        <v>510</v>
      </c>
      <c r="B153" s="117" t="s">
        <v>489</v>
      </c>
      <c r="C153" s="58" t="s">
        <v>15</v>
      </c>
      <c r="D153" s="157">
        <v>5</v>
      </c>
      <c r="E153" s="133">
        <v>5</v>
      </c>
      <c r="F153" s="285"/>
      <c r="G153" s="224"/>
      <c r="H153" s="287"/>
      <c r="I153" s="227"/>
      <c r="J153" s="287"/>
      <c r="K153" s="227"/>
      <c r="L153" s="287"/>
      <c r="M153" s="227"/>
      <c r="N153" s="289"/>
    </row>
    <row r="154" spans="1:14" x14ac:dyDescent="0.25">
      <c r="A154" s="47" t="s">
        <v>511</v>
      </c>
      <c r="B154" s="117" t="s">
        <v>490</v>
      </c>
      <c r="C154" s="58" t="s">
        <v>15</v>
      </c>
      <c r="D154" s="157">
        <v>3</v>
      </c>
      <c r="E154" s="133">
        <v>3</v>
      </c>
      <c r="F154" s="285"/>
      <c r="G154" s="224"/>
      <c r="H154" s="287"/>
      <c r="I154" s="227"/>
      <c r="J154" s="287"/>
      <c r="K154" s="227"/>
      <c r="L154" s="287"/>
      <c r="M154" s="227"/>
      <c r="N154" s="289"/>
    </row>
    <row r="155" spans="1:14" ht="31.5" x14ac:dyDescent="0.25">
      <c r="A155" s="47" t="s">
        <v>512</v>
      </c>
      <c r="B155" s="117" t="s">
        <v>491</v>
      </c>
      <c r="C155" s="58" t="s">
        <v>15</v>
      </c>
      <c r="D155" s="157">
        <v>1</v>
      </c>
      <c r="E155" s="133">
        <v>1</v>
      </c>
      <c r="F155" s="285"/>
      <c r="G155" s="224"/>
      <c r="H155" s="287"/>
      <c r="I155" s="227"/>
      <c r="J155" s="287"/>
      <c r="K155" s="227"/>
      <c r="L155" s="287"/>
      <c r="M155" s="227"/>
      <c r="N155" s="289"/>
    </row>
    <row r="156" spans="1:14" ht="31.5" x14ac:dyDescent="0.25">
      <c r="A156" s="47" t="s">
        <v>513</v>
      </c>
      <c r="B156" s="117" t="s">
        <v>492</v>
      </c>
      <c r="C156" s="58" t="s">
        <v>15</v>
      </c>
      <c r="D156" s="157">
        <v>1</v>
      </c>
      <c r="E156" s="133">
        <v>1</v>
      </c>
      <c r="F156" s="285"/>
      <c r="G156" s="224"/>
      <c r="H156" s="287"/>
      <c r="I156" s="227"/>
      <c r="J156" s="287"/>
      <c r="K156" s="227"/>
      <c r="L156" s="287"/>
      <c r="M156" s="227"/>
      <c r="N156" s="289"/>
    </row>
    <row r="157" spans="1:14" ht="31.5" x14ac:dyDescent="0.25">
      <c r="A157" s="47" t="s">
        <v>514</v>
      </c>
      <c r="B157" s="117" t="s">
        <v>493</v>
      </c>
      <c r="C157" s="58" t="s">
        <v>15</v>
      </c>
      <c r="D157" s="157">
        <v>2</v>
      </c>
      <c r="E157" s="133">
        <v>2</v>
      </c>
      <c r="F157" s="285"/>
      <c r="G157" s="224"/>
      <c r="H157" s="287"/>
      <c r="I157" s="227"/>
      <c r="J157" s="287"/>
      <c r="K157" s="227"/>
      <c r="L157" s="287"/>
      <c r="M157" s="227"/>
      <c r="N157" s="289"/>
    </row>
    <row r="158" spans="1:14" ht="31.5" x14ac:dyDescent="0.25">
      <c r="A158" s="47" t="s">
        <v>515</v>
      </c>
      <c r="B158" s="117" t="s">
        <v>494</v>
      </c>
      <c r="C158" s="58" t="s">
        <v>303</v>
      </c>
      <c r="D158" s="157">
        <v>2.4700000000000002</v>
      </c>
      <c r="E158" s="133">
        <v>2.4700000000000002</v>
      </c>
      <c r="F158" s="285"/>
      <c r="G158" s="224"/>
      <c r="H158" s="287"/>
      <c r="I158" s="227"/>
      <c r="J158" s="287"/>
      <c r="K158" s="227"/>
      <c r="L158" s="287"/>
      <c r="M158" s="227"/>
      <c r="N158" s="289"/>
    </row>
    <row r="159" spans="1:14" x14ac:dyDescent="0.25">
      <c r="A159" s="47" t="s">
        <v>516</v>
      </c>
      <c r="B159" s="117" t="s">
        <v>495</v>
      </c>
      <c r="C159" s="58" t="s">
        <v>310</v>
      </c>
      <c r="D159" s="157">
        <v>1.4585999999999999</v>
      </c>
      <c r="E159" s="133">
        <v>1.4585999999999999</v>
      </c>
      <c r="F159" s="285"/>
      <c r="G159" s="224"/>
      <c r="H159" s="287"/>
      <c r="I159" s="227"/>
      <c r="J159" s="287"/>
      <c r="K159" s="227"/>
      <c r="L159" s="287"/>
      <c r="M159" s="227"/>
      <c r="N159" s="289"/>
    </row>
    <row r="160" spans="1:14" x14ac:dyDescent="0.25">
      <c r="A160" s="47" t="s">
        <v>517</v>
      </c>
      <c r="B160" s="117" t="s">
        <v>496</v>
      </c>
      <c r="C160" s="58" t="s">
        <v>310</v>
      </c>
      <c r="D160" s="157">
        <v>1.43</v>
      </c>
      <c r="E160" s="133">
        <v>1.43</v>
      </c>
      <c r="F160" s="285"/>
      <c r="G160" s="224"/>
      <c r="H160" s="287"/>
      <c r="I160" s="227"/>
      <c r="J160" s="287"/>
      <c r="K160" s="227"/>
      <c r="L160" s="287"/>
      <c r="M160" s="227"/>
      <c r="N160" s="289"/>
    </row>
    <row r="161" spans="1:14" ht="31.5" x14ac:dyDescent="0.25">
      <c r="A161" s="47" t="s">
        <v>518</v>
      </c>
      <c r="B161" s="117" t="s">
        <v>497</v>
      </c>
      <c r="C161" s="58" t="s">
        <v>15</v>
      </c>
      <c r="D161" s="157">
        <v>1</v>
      </c>
      <c r="E161" s="133">
        <v>1</v>
      </c>
      <c r="F161" s="285"/>
      <c r="G161" s="224"/>
      <c r="H161" s="287"/>
      <c r="I161" s="227"/>
      <c r="J161" s="287"/>
      <c r="K161" s="227"/>
      <c r="L161" s="287"/>
      <c r="M161" s="227"/>
      <c r="N161" s="289"/>
    </row>
    <row r="162" spans="1:14" ht="31.5" x14ac:dyDescent="0.25">
      <c r="A162" s="47" t="s">
        <v>519</v>
      </c>
      <c r="B162" s="117" t="s">
        <v>498</v>
      </c>
      <c r="C162" s="58" t="s">
        <v>310</v>
      </c>
      <c r="D162" s="157">
        <v>0.4</v>
      </c>
      <c r="E162" s="133">
        <v>0.4</v>
      </c>
      <c r="F162" s="285"/>
      <c r="G162" s="224"/>
      <c r="H162" s="287"/>
      <c r="I162" s="227"/>
      <c r="J162" s="287"/>
      <c r="K162" s="227"/>
      <c r="L162" s="287"/>
      <c r="M162" s="227"/>
      <c r="N162" s="289"/>
    </row>
    <row r="163" spans="1:14" x14ac:dyDescent="0.25">
      <c r="A163" s="47" t="s">
        <v>520</v>
      </c>
      <c r="B163" s="117" t="s">
        <v>499</v>
      </c>
      <c r="C163" s="58" t="s">
        <v>310</v>
      </c>
      <c r="D163" s="157">
        <v>0.26079999999999998</v>
      </c>
      <c r="E163" s="133">
        <v>0.26079999999999998</v>
      </c>
      <c r="F163" s="285"/>
      <c r="G163" s="224"/>
      <c r="H163" s="287"/>
      <c r="I163" s="227"/>
      <c r="J163" s="287"/>
      <c r="K163" s="227"/>
      <c r="L163" s="287"/>
      <c r="M163" s="227"/>
      <c r="N163" s="289"/>
    </row>
    <row r="164" spans="1:14" ht="31.5" x14ac:dyDescent="0.25">
      <c r="A164" s="47" t="s">
        <v>521</v>
      </c>
      <c r="B164" s="117" t="s">
        <v>500</v>
      </c>
      <c r="C164" s="58" t="s">
        <v>310</v>
      </c>
      <c r="D164" s="157">
        <v>0.26079999999999998</v>
      </c>
      <c r="E164" s="133">
        <v>0.26079999999999998</v>
      </c>
      <c r="F164" s="285"/>
      <c r="G164" s="224"/>
      <c r="H164" s="287"/>
      <c r="I164" s="227"/>
      <c r="J164" s="287"/>
      <c r="K164" s="227"/>
      <c r="L164" s="287"/>
      <c r="M164" s="227"/>
      <c r="N164" s="289"/>
    </row>
    <row r="165" spans="1:14" x14ac:dyDescent="0.25">
      <c r="A165" s="47" t="s">
        <v>522</v>
      </c>
      <c r="B165" s="117" t="s">
        <v>501</v>
      </c>
      <c r="C165" s="58" t="s">
        <v>15</v>
      </c>
      <c r="D165" s="157">
        <v>12</v>
      </c>
      <c r="E165" s="133">
        <v>12</v>
      </c>
      <c r="F165" s="285"/>
      <c r="G165" s="224"/>
      <c r="H165" s="287"/>
      <c r="I165" s="227"/>
      <c r="J165" s="287"/>
      <c r="K165" s="227"/>
      <c r="L165" s="287"/>
      <c r="M165" s="227"/>
      <c r="N165" s="289"/>
    </row>
    <row r="166" spans="1:14" ht="32.25" thickBot="1" x14ac:dyDescent="0.3">
      <c r="A166" s="48" t="s">
        <v>523</v>
      </c>
      <c r="B166" s="122" t="s">
        <v>502</v>
      </c>
      <c r="C166" s="59" t="s">
        <v>15</v>
      </c>
      <c r="D166" s="205">
        <v>6</v>
      </c>
      <c r="E166" s="206">
        <v>6</v>
      </c>
      <c r="F166" s="286"/>
      <c r="G166" s="225"/>
      <c r="H166" s="288"/>
      <c r="I166" s="228"/>
      <c r="J166" s="288"/>
      <c r="K166" s="228"/>
      <c r="L166" s="288"/>
      <c r="M166" s="228"/>
      <c r="N166" s="290"/>
    </row>
    <row r="167" spans="1:14" ht="66.75" customHeight="1" thickBot="1" x14ac:dyDescent="0.3">
      <c r="A167" s="40">
        <v>25</v>
      </c>
      <c r="B167" s="113" t="s">
        <v>31</v>
      </c>
      <c r="C167" s="4" t="s">
        <v>18</v>
      </c>
      <c r="D167" s="203">
        <v>1</v>
      </c>
      <c r="E167" s="204">
        <v>1</v>
      </c>
      <c r="F167" s="30">
        <f>H167+J167+L167</f>
        <v>8750</v>
      </c>
      <c r="G167" s="167">
        <f>I167+K167+M167</f>
        <v>8750</v>
      </c>
      <c r="H167" s="32">
        <v>8750</v>
      </c>
      <c r="I167" s="168">
        <v>8750</v>
      </c>
      <c r="J167" s="23"/>
      <c r="K167" s="177"/>
      <c r="L167" s="23"/>
      <c r="M167" s="177"/>
      <c r="N167" s="178"/>
    </row>
    <row r="168" spans="1:14" ht="78.75" x14ac:dyDescent="0.25">
      <c r="A168" s="101">
        <v>26</v>
      </c>
      <c r="B168" s="111" t="s">
        <v>9</v>
      </c>
      <c r="C168" s="51" t="s">
        <v>561</v>
      </c>
      <c r="D168" s="152" t="s">
        <v>560</v>
      </c>
      <c r="E168" s="104" t="s">
        <v>560</v>
      </c>
      <c r="F168" s="241">
        <f>H168+J168+L168</f>
        <v>94274.675000000003</v>
      </c>
      <c r="G168" s="223">
        <f>I168+K168+M168</f>
        <v>94274.675000000003</v>
      </c>
      <c r="H168" s="235">
        <v>94274.675000000003</v>
      </c>
      <c r="I168" s="226">
        <v>94274.675000000003</v>
      </c>
      <c r="J168" s="235"/>
      <c r="K168" s="226"/>
      <c r="L168" s="235"/>
      <c r="M168" s="226"/>
      <c r="N168" s="232"/>
    </row>
    <row r="169" spans="1:14" x14ac:dyDescent="0.25">
      <c r="A169" s="41" t="s">
        <v>544</v>
      </c>
      <c r="B169" s="117" t="s">
        <v>526</v>
      </c>
      <c r="C169" s="55" t="s">
        <v>15</v>
      </c>
      <c r="D169" s="156">
        <v>349</v>
      </c>
      <c r="E169" s="69">
        <v>349</v>
      </c>
      <c r="F169" s="242"/>
      <c r="G169" s="224"/>
      <c r="H169" s="236"/>
      <c r="I169" s="227"/>
      <c r="J169" s="236"/>
      <c r="K169" s="227"/>
      <c r="L169" s="236"/>
      <c r="M169" s="227"/>
      <c r="N169" s="233"/>
    </row>
    <row r="170" spans="1:14" x14ac:dyDescent="0.25">
      <c r="A170" s="41" t="s">
        <v>546</v>
      </c>
      <c r="B170" s="117" t="s">
        <v>527</v>
      </c>
      <c r="C170" s="55" t="s">
        <v>15</v>
      </c>
      <c r="D170" s="156">
        <v>21</v>
      </c>
      <c r="E170" s="69">
        <v>21</v>
      </c>
      <c r="F170" s="242"/>
      <c r="G170" s="224"/>
      <c r="H170" s="236"/>
      <c r="I170" s="227"/>
      <c r="J170" s="236"/>
      <c r="K170" s="227"/>
      <c r="L170" s="236"/>
      <c r="M170" s="227"/>
      <c r="N170" s="233"/>
    </row>
    <row r="171" spans="1:14" x14ac:dyDescent="0.25">
      <c r="A171" s="41" t="s">
        <v>547</v>
      </c>
      <c r="B171" s="117" t="s">
        <v>528</v>
      </c>
      <c r="C171" s="55" t="s">
        <v>310</v>
      </c>
      <c r="D171" s="156">
        <v>7.66</v>
      </c>
      <c r="E171" s="69">
        <v>7.66</v>
      </c>
      <c r="F171" s="242"/>
      <c r="G171" s="224"/>
      <c r="H171" s="236"/>
      <c r="I171" s="227"/>
      <c r="J171" s="236"/>
      <c r="K171" s="227"/>
      <c r="L171" s="236"/>
      <c r="M171" s="227"/>
      <c r="N171" s="233"/>
    </row>
    <row r="172" spans="1:14" x14ac:dyDescent="0.25">
      <c r="A172" s="41" t="s">
        <v>548</v>
      </c>
      <c r="B172" s="117" t="s">
        <v>529</v>
      </c>
      <c r="C172" s="55" t="s">
        <v>310</v>
      </c>
      <c r="D172" s="156">
        <v>8.57</v>
      </c>
      <c r="E172" s="69">
        <v>8.57</v>
      </c>
      <c r="F172" s="242"/>
      <c r="G172" s="224"/>
      <c r="H172" s="236"/>
      <c r="I172" s="227"/>
      <c r="J172" s="236"/>
      <c r="K172" s="227"/>
      <c r="L172" s="236"/>
      <c r="M172" s="227"/>
      <c r="N172" s="233"/>
    </row>
    <row r="173" spans="1:14" x14ac:dyDescent="0.25">
      <c r="A173" s="41" t="s">
        <v>545</v>
      </c>
      <c r="B173" s="117" t="s">
        <v>530</v>
      </c>
      <c r="C173" s="55" t="s">
        <v>310</v>
      </c>
      <c r="D173" s="156">
        <v>4.2</v>
      </c>
      <c r="E173" s="69">
        <v>4.2</v>
      </c>
      <c r="F173" s="242"/>
      <c r="G173" s="224"/>
      <c r="H173" s="236"/>
      <c r="I173" s="227"/>
      <c r="J173" s="236"/>
      <c r="K173" s="227"/>
      <c r="L173" s="236"/>
      <c r="M173" s="227"/>
      <c r="N173" s="233"/>
    </row>
    <row r="174" spans="1:14" x14ac:dyDescent="0.25">
      <c r="A174" s="41" t="s">
        <v>549</v>
      </c>
      <c r="B174" s="117" t="s">
        <v>531</v>
      </c>
      <c r="C174" s="55" t="s">
        <v>310</v>
      </c>
      <c r="D174" s="156">
        <v>7.19</v>
      </c>
      <c r="E174" s="69">
        <v>7.19</v>
      </c>
      <c r="F174" s="242"/>
      <c r="G174" s="224"/>
      <c r="H174" s="236"/>
      <c r="I174" s="227"/>
      <c r="J174" s="236"/>
      <c r="K174" s="227"/>
      <c r="L174" s="236"/>
      <c r="M174" s="227"/>
      <c r="N174" s="233"/>
    </row>
    <row r="175" spans="1:14" ht="47.25" x14ac:dyDescent="0.25">
      <c r="A175" s="41" t="s">
        <v>550</v>
      </c>
      <c r="B175" s="117" t="s">
        <v>532</v>
      </c>
      <c r="C175" s="55" t="s">
        <v>352</v>
      </c>
      <c r="D175" s="156">
        <v>3</v>
      </c>
      <c r="E175" s="69">
        <v>3</v>
      </c>
      <c r="F175" s="242"/>
      <c r="G175" s="224"/>
      <c r="H175" s="236"/>
      <c r="I175" s="227"/>
      <c r="J175" s="236"/>
      <c r="K175" s="227"/>
      <c r="L175" s="236"/>
      <c r="M175" s="227"/>
      <c r="N175" s="233"/>
    </row>
    <row r="176" spans="1:14" ht="47.25" x14ac:dyDescent="0.25">
      <c r="A176" s="41" t="s">
        <v>551</v>
      </c>
      <c r="B176" s="117" t="s">
        <v>539</v>
      </c>
      <c r="C176" s="55" t="s">
        <v>533</v>
      </c>
      <c r="D176" s="156">
        <v>5</v>
      </c>
      <c r="E176" s="69">
        <v>5</v>
      </c>
      <c r="F176" s="242"/>
      <c r="G176" s="224"/>
      <c r="H176" s="236"/>
      <c r="I176" s="227"/>
      <c r="J176" s="236"/>
      <c r="K176" s="227"/>
      <c r="L176" s="236"/>
      <c r="M176" s="227"/>
      <c r="N176" s="233"/>
    </row>
    <row r="177" spans="1:14" x14ac:dyDescent="0.25">
      <c r="A177" s="41" t="s">
        <v>552</v>
      </c>
      <c r="B177" s="117" t="s">
        <v>543</v>
      </c>
      <c r="C177" s="55" t="s">
        <v>15</v>
      </c>
      <c r="D177" s="156">
        <v>5</v>
      </c>
      <c r="E177" s="69">
        <v>5</v>
      </c>
      <c r="F177" s="242"/>
      <c r="G177" s="224"/>
      <c r="H177" s="236"/>
      <c r="I177" s="227"/>
      <c r="J177" s="236"/>
      <c r="K177" s="227"/>
      <c r="L177" s="236"/>
      <c r="M177" s="227"/>
      <c r="N177" s="233"/>
    </row>
    <row r="178" spans="1:14" x14ac:dyDescent="0.25">
      <c r="A178" s="41" t="s">
        <v>553</v>
      </c>
      <c r="B178" s="117" t="s">
        <v>540</v>
      </c>
      <c r="C178" s="55" t="s">
        <v>15</v>
      </c>
      <c r="D178" s="156">
        <v>14</v>
      </c>
      <c r="E178" s="69">
        <v>14</v>
      </c>
      <c r="F178" s="242"/>
      <c r="G178" s="224"/>
      <c r="H178" s="236"/>
      <c r="I178" s="227"/>
      <c r="J178" s="236"/>
      <c r="K178" s="227"/>
      <c r="L178" s="236"/>
      <c r="M178" s="227"/>
      <c r="N178" s="233"/>
    </row>
    <row r="179" spans="1:14" x14ac:dyDescent="0.25">
      <c r="A179" s="41" t="s">
        <v>554</v>
      </c>
      <c r="B179" s="117" t="s">
        <v>541</v>
      </c>
      <c r="C179" s="55" t="s">
        <v>15</v>
      </c>
      <c r="D179" s="156">
        <v>18</v>
      </c>
      <c r="E179" s="69">
        <v>18</v>
      </c>
      <c r="F179" s="242"/>
      <c r="G179" s="224"/>
      <c r="H179" s="236"/>
      <c r="I179" s="227"/>
      <c r="J179" s="236"/>
      <c r="K179" s="227"/>
      <c r="L179" s="236"/>
      <c r="M179" s="227"/>
      <c r="N179" s="233"/>
    </row>
    <row r="180" spans="1:14" x14ac:dyDescent="0.25">
      <c r="A180" s="41" t="s">
        <v>555</v>
      </c>
      <c r="B180" s="117" t="s">
        <v>534</v>
      </c>
      <c r="C180" s="55" t="s">
        <v>535</v>
      </c>
      <c r="D180" s="156">
        <v>102</v>
      </c>
      <c r="E180" s="69">
        <v>102</v>
      </c>
      <c r="F180" s="242"/>
      <c r="G180" s="224"/>
      <c r="H180" s="236"/>
      <c r="I180" s="227"/>
      <c r="J180" s="236"/>
      <c r="K180" s="227"/>
      <c r="L180" s="236"/>
      <c r="M180" s="227"/>
      <c r="N180" s="233"/>
    </row>
    <row r="181" spans="1:14" x14ac:dyDescent="0.25">
      <c r="A181" s="41" t="s">
        <v>556</v>
      </c>
      <c r="B181" s="117" t="s">
        <v>536</v>
      </c>
      <c r="C181" s="55" t="s">
        <v>310</v>
      </c>
      <c r="D181" s="156">
        <v>2.56</v>
      </c>
      <c r="E181" s="69">
        <v>2.56</v>
      </c>
      <c r="F181" s="242"/>
      <c r="G181" s="224"/>
      <c r="H181" s="236"/>
      <c r="I181" s="227"/>
      <c r="J181" s="236"/>
      <c r="K181" s="227"/>
      <c r="L181" s="236"/>
      <c r="M181" s="227"/>
      <c r="N181" s="233"/>
    </row>
    <row r="182" spans="1:14" ht="47.25" x14ac:dyDescent="0.25">
      <c r="A182" s="41" t="s">
        <v>557</v>
      </c>
      <c r="B182" s="117" t="s">
        <v>538</v>
      </c>
      <c r="C182" s="55" t="s">
        <v>533</v>
      </c>
      <c r="D182" s="156">
        <v>5</v>
      </c>
      <c r="E182" s="69">
        <v>5</v>
      </c>
      <c r="F182" s="242"/>
      <c r="G182" s="224"/>
      <c r="H182" s="236"/>
      <c r="I182" s="227"/>
      <c r="J182" s="236"/>
      <c r="K182" s="227"/>
      <c r="L182" s="236"/>
      <c r="M182" s="227"/>
      <c r="N182" s="233"/>
    </row>
    <row r="183" spans="1:14" ht="47.25" x14ac:dyDescent="0.25">
      <c r="A183" s="41" t="s">
        <v>558</v>
      </c>
      <c r="B183" s="117" t="s">
        <v>542</v>
      </c>
      <c r="C183" s="55" t="s">
        <v>15</v>
      </c>
      <c r="D183" s="156">
        <v>2</v>
      </c>
      <c r="E183" s="69">
        <v>2</v>
      </c>
      <c r="F183" s="242"/>
      <c r="G183" s="224"/>
      <c r="H183" s="236"/>
      <c r="I183" s="227"/>
      <c r="J183" s="236"/>
      <c r="K183" s="227"/>
      <c r="L183" s="236"/>
      <c r="M183" s="227"/>
      <c r="N183" s="233"/>
    </row>
    <row r="184" spans="1:14" ht="48" thickBot="1" x14ac:dyDescent="0.3">
      <c r="A184" s="42" t="s">
        <v>559</v>
      </c>
      <c r="B184" s="122" t="s">
        <v>537</v>
      </c>
      <c r="C184" s="56" t="s">
        <v>15</v>
      </c>
      <c r="D184" s="174">
        <v>3</v>
      </c>
      <c r="E184" s="175">
        <v>3</v>
      </c>
      <c r="F184" s="243"/>
      <c r="G184" s="225"/>
      <c r="H184" s="237"/>
      <c r="I184" s="228"/>
      <c r="J184" s="237"/>
      <c r="K184" s="228"/>
      <c r="L184" s="237"/>
      <c r="M184" s="228"/>
      <c r="N184" s="234"/>
    </row>
    <row r="185" spans="1:14" ht="31.5" x14ac:dyDescent="0.25">
      <c r="A185" s="101">
        <v>27</v>
      </c>
      <c r="B185" s="111" t="s">
        <v>86</v>
      </c>
      <c r="C185" s="51" t="s">
        <v>323</v>
      </c>
      <c r="D185" s="218">
        <f>SUM(D186:D189)</f>
        <v>124.78399999999999</v>
      </c>
      <c r="E185" s="104" t="s">
        <v>638</v>
      </c>
      <c r="F185" s="241">
        <f>H185+J185+L185</f>
        <v>351875.20565560489</v>
      </c>
      <c r="G185" s="223">
        <f>I185+K185+M185</f>
        <v>351875.20567</v>
      </c>
      <c r="H185" s="235">
        <v>351875.20565560489</v>
      </c>
      <c r="I185" s="226">
        <v>351875.20567</v>
      </c>
      <c r="J185" s="235"/>
      <c r="K185" s="226"/>
      <c r="L185" s="235"/>
      <c r="M185" s="226"/>
      <c r="N185" s="232"/>
    </row>
    <row r="186" spans="1:14" x14ac:dyDescent="0.25">
      <c r="A186" s="41" t="s">
        <v>564</v>
      </c>
      <c r="B186" s="117" t="s">
        <v>562</v>
      </c>
      <c r="C186" s="55" t="s">
        <v>310</v>
      </c>
      <c r="D186" s="156">
        <v>55.186999999999998</v>
      </c>
      <c r="E186" s="69"/>
      <c r="F186" s="242"/>
      <c r="G186" s="224"/>
      <c r="H186" s="236"/>
      <c r="I186" s="227"/>
      <c r="J186" s="236"/>
      <c r="K186" s="227"/>
      <c r="L186" s="236"/>
      <c r="M186" s="227"/>
      <c r="N186" s="233"/>
    </row>
    <row r="187" spans="1:14" x14ac:dyDescent="0.25">
      <c r="A187" s="41" t="s">
        <v>565</v>
      </c>
      <c r="B187" s="117" t="s">
        <v>636</v>
      </c>
      <c r="C187" s="55" t="s">
        <v>310</v>
      </c>
      <c r="D187" s="156"/>
      <c r="E187" s="69">
        <v>51.854999999999997</v>
      </c>
      <c r="F187" s="242"/>
      <c r="G187" s="224"/>
      <c r="H187" s="236"/>
      <c r="I187" s="227"/>
      <c r="J187" s="236"/>
      <c r="K187" s="227"/>
      <c r="L187" s="236"/>
      <c r="M187" s="227"/>
      <c r="N187" s="233"/>
    </row>
    <row r="188" spans="1:14" x14ac:dyDescent="0.25">
      <c r="A188" s="41" t="s">
        <v>670</v>
      </c>
      <c r="B188" s="118" t="s">
        <v>637</v>
      </c>
      <c r="C188" s="55" t="s">
        <v>352</v>
      </c>
      <c r="D188" s="156"/>
      <c r="E188" s="69">
        <v>2</v>
      </c>
      <c r="F188" s="242"/>
      <c r="G188" s="224"/>
      <c r="H188" s="236"/>
      <c r="I188" s="227"/>
      <c r="J188" s="236"/>
      <c r="K188" s="227"/>
      <c r="L188" s="236"/>
      <c r="M188" s="227"/>
      <c r="N188" s="233"/>
    </row>
    <row r="189" spans="1:14" ht="16.5" thickBot="1" x14ac:dyDescent="0.3">
      <c r="A189" s="41" t="s">
        <v>671</v>
      </c>
      <c r="B189" s="122" t="s">
        <v>563</v>
      </c>
      <c r="C189" s="56" t="s">
        <v>310</v>
      </c>
      <c r="D189" s="174">
        <v>69.596999999999994</v>
      </c>
      <c r="E189" s="175"/>
      <c r="F189" s="243"/>
      <c r="G189" s="225"/>
      <c r="H189" s="237"/>
      <c r="I189" s="228"/>
      <c r="J189" s="237"/>
      <c r="K189" s="228"/>
      <c r="L189" s="237"/>
      <c r="M189" s="228"/>
      <c r="N189" s="234"/>
    </row>
    <row r="190" spans="1:14" ht="31.5" x14ac:dyDescent="0.25">
      <c r="A190" s="101">
        <v>28</v>
      </c>
      <c r="B190" s="111" t="s">
        <v>87</v>
      </c>
      <c r="C190" s="51" t="s">
        <v>323</v>
      </c>
      <c r="D190" s="218">
        <f>SUM(D191:D196)</f>
        <v>250.40799999999999</v>
      </c>
      <c r="E190" s="104" t="s">
        <v>641</v>
      </c>
      <c r="F190" s="241">
        <f t="shared" ref="F190" si="10">H190+J190+L190</f>
        <v>1017993.1568596</v>
      </c>
      <c r="G190" s="223">
        <f t="shared" ref="G190" si="11">I190+K190+M190</f>
        <v>1017993.1568699999</v>
      </c>
      <c r="H190" s="235">
        <v>1017993.1568596</v>
      </c>
      <c r="I190" s="226">
        <v>1017993.1568699999</v>
      </c>
      <c r="J190" s="235"/>
      <c r="K190" s="226"/>
      <c r="L190" s="235"/>
      <c r="M190" s="226"/>
      <c r="N190" s="232"/>
    </row>
    <row r="191" spans="1:14" x14ac:dyDescent="0.25">
      <c r="A191" s="41" t="s">
        <v>566</v>
      </c>
      <c r="B191" s="117" t="s">
        <v>562</v>
      </c>
      <c r="C191" s="55" t="s">
        <v>310</v>
      </c>
      <c r="D191" s="156">
        <v>202.85499999999999</v>
      </c>
      <c r="E191" s="69"/>
      <c r="F191" s="242"/>
      <c r="G191" s="224"/>
      <c r="H191" s="236"/>
      <c r="I191" s="227"/>
      <c r="J191" s="236"/>
      <c r="K191" s="227"/>
      <c r="L191" s="236"/>
      <c r="M191" s="227"/>
      <c r="N191" s="233"/>
    </row>
    <row r="192" spans="1:14" x14ac:dyDescent="0.25">
      <c r="A192" s="41" t="s">
        <v>567</v>
      </c>
      <c r="B192" s="117" t="s">
        <v>636</v>
      </c>
      <c r="C192" s="55" t="s">
        <v>310</v>
      </c>
      <c r="D192" s="156"/>
      <c r="E192" s="131">
        <v>180.14500000000001</v>
      </c>
      <c r="F192" s="242"/>
      <c r="G192" s="224"/>
      <c r="H192" s="236"/>
      <c r="I192" s="227"/>
      <c r="J192" s="236"/>
      <c r="K192" s="227"/>
      <c r="L192" s="236"/>
      <c r="M192" s="227"/>
      <c r="N192" s="233"/>
    </row>
    <row r="193" spans="1:14" ht="31.5" x14ac:dyDescent="0.25">
      <c r="A193" s="41" t="s">
        <v>666</v>
      </c>
      <c r="B193" s="118" t="s">
        <v>639</v>
      </c>
      <c r="C193" s="55" t="s">
        <v>310</v>
      </c>
      <c r="D193" s="156"/>
      <c r="E193" s="131">
        <v>25.5</v>
      </c>
      <c r="F193" s="242"/>
      <c r="G193" s="224"/>
      <c r="H193" s="236"/>
      <c r="I193" s="227"/>
      <c r="J193" s="236"/>
      <c r="K193" s="227"/>
      <c r="L193" s="236"/>
      <c r="M193" s="227"/>
      <c r="N193" s="233"/>
    </row>
    <row r="194" spans="1:14" x14ac:dyDescent="0.25">
      <c r="A194" s="41" t="s">
        <v>667</v>
      </c>
      <c r="B194" s="118" t="s">
        <v>640</v>
      </c>
      <c r="C194" s="55" t="s">
        <v>352</v>
      </c>
      <c r="D194" s="156"/>
      <c r="E194" s="131">
        <v>1</v>
      </c>
      <c r="F194" s="242"/>
      <c r="G194" s="224"/>
      <c r="H194" s="236"/>
      <c r="I194" s="227"/>
      <c r="J194" s="236"/>
      <c r="K194" s="227"/>
      <c r="L194" s="236"/>
      <c r="M194" s="227"/>
      <c r="N194" s="233"/>
    </row>
    <row r="195" spans="1:14" x14ac:dyDescent="0.25">
      <c r="A195" s="41" t="s">
        <v>668</v>
      </c>
      <c r="B195" s="118" t="s">
        <v>637</v>
      </c>
      <c r="C195" s="55" t="s">
        <v>352</v>
      </c>
      <c r="D195" s="156"/>
      <c r="E195" s="131">
        <v>2</v>
      </c>
      <c r="F195" s="242"/>
      <c r="G195" s="224"/>
      <c r="H195" s="236"/>
      <c r="I195" s="227"/>
      <c r="J195" s="236"/>
      <c r="K195" s="227"/>
      <c r="L195" s="236"/>
      <c r="M195" s="227"/>
      <c r="N195" s="233"/>
    </row>
    <row r="196" spans="1:14" ht="16.5" thickBot="1" x14ac:dyDescent="0.3">
      <c r="A196" s="41" t="s">
        <v>669</v>
      </c>
      <c r="B196" s="122" t="s">
        <v>563</v>
      </c>
      <c r="C196" s="56" t="s">
        <v>310</v>
      </c>
      <c r="D196" s="174">
        <v>47.552999999999997</v>
      </c>
      <c r="E196" s="207">
        <v>46.387</v>
      </c>
      <c r="F196" s="243"/>
      <c r="G196" s="225"/>
      <c r="H196" s="237"/>
      <c r="I196" s="228"/>
      <c r="J196" s="237"/>
      <c r="K196" s="228"/>
      <c r="L196" s="237"/>
      <c r="M196" s="228"/>
      <c r="N196" s="234"/>
    </row>
    <row r="197" spans="1:14" ht="31.5" x14ac:dyDescent="0.25">
      <c r="A197" s="101">
        <v>29</v>
      </c>
      <c r="B197" s="111" t="s">
        <v>88</v>
      </c>
      <c r="C197" s="51" t="s">
        <v>323</v>
      </c>
      <c r="D197" s="218">
        <f>SUM(D198:D201)</f>
        <v>88.503</v>
      </c>
      <c r="E197" s="104" t="s">
        <v>642</v>
      </c>
      <c r="F197" s="241">
        <f t="shared" ref="F197" si="12">H197+J197+L197</f>
        <v>93355.041987268662</v>
      </c>
      <c r="G197" s="223">
        <f t="shared" ref="G197" si="13">I197+K197+M197</f>
        <v>93355.041989999983</v>
      </c>
      <c r="H197" s="235">
        <v>93355.041987268662</v>
      </c>
      <c r="I197" s="226">
        <v>93355.041989999983</v>
      </c>
      <c r="J197" s="235"/>
      <c r="K197" s="226"/>
      <c r="L197" s="235"/>
      <c r="M197" s="226"/>
      <c r="N197" s="232"/>
    </row>
    <row r="198" spans="1:14" x14ac:dyDescent="0.25">
      <c r="A198" s="41" t="s">
        <v>568</v>
      </c>
      <c r="B198" s="117" t="s">
        <v>562</v>
      </c>
      <c r="C198" s="55" t="s">
        <v>310</v>
      </c>
      <c r="D198" s="156">
        <v>26.457000000000001</v>
      </c>
      <c r="E198" s="69"/>
      <c r="F198" s="242"/>
      <c r="G198" s="224"/>
      <c r="H198" s="236"/>
      <c r="I198" s="227"/>
      <c r="J198" s="236"/>
      <c r="K198" s="227"/>
      <c r="L198" s="236"/>
      <c r="M198" s="227"/>
      <c r="N198" s="233"/>
    </row>
    <row r="199" spans="1:14" x14ac:dyDescent="0.25">
      <c r="A199" s="41" t="s">
        <v>569</v>
      </c>
      <c r="B199" s="117" t="s">
        <v>636</v>
      </c>
      <c r="C199" s="55" t="s">
        <v>310</v>
      </c>
      <c r="D199" s="156"/>
      <c r="E199" s="69">
        <v>24.760999999999999</v>
      </c>
      <c r="F199" s="242"/>
      <c r="G199" s="224"/>
      <c r="H199" s="236"/>
      <c r="I199" s="227"/>
      <c r="J199" s="236"/>
      <c r="K199" s="227"/>
      <c r="L199" s="236"/>
      <c r="M199" s="227"/>
      <c r="N199" s="233"/>
    </row>
    <row r="200" spans="1:14" x14ac:dyDescent="0.25">
      <c r="A200" s="41" t="s">
        <v>664</v>
      </c>
      <c r="B200" s="118" t="s">
        <v>640</v>
      </c>
      <c r="C200" s="55" t="s">
        <v>352</v>
      </c>
      <c r="D200" s="156"/>
      <c r="E200" s="131">
        <v>1</v>
      </c>
      <c r="F200" s="242"/>
      <c r="G200" s="224"/>
      <c r="H200" s="236"/>
      <c r="I200" s="227"/>
      <c r="J200" s="236"/>
      <c r="K200" s="227"/>
      <c r="L200" s="236"/>
      <c r="M200" s="227"/>
      <c r="N200" s="233"/>
    </row>
    <row r="201" spans="1:14" ht="16.5" thickBot="1" x14ac:dyDescent="0.3">
      <c r="A201" s="41" t="s">
        <v>665</v>
      </c>
      <c r="B201" s="122" t="s">
        <v>563</v>
      </c>
      <c r="C201" s="56" t="s">
        <v>310</v>
      </c>
      <c r="D201" s="174">
        <v>62.045999999999999</v>
      </c>
      <c r="E201" s="175"/>
      <c r="F201" s="243"/>
      <c r="G201" s="225"/>
      <c r="H201" s="237"/>
      <c r="I201" s="228"/>
      <c r="J201" s="237"/>
      <c r="K201" s="228"/>
      <c r="L201" s="237"/>
      <c r="M201" s="228"/>
      <c r="N201" s="234"/>
    </row>
    <row r="202" spans="1:14" ht="78.75" x14ac:dyDescent="0.25">
      <c r="A202" s="255">
        <v>30</v>
      </c>
      <c r="B202" s="114" t="s">
        <v>36</v>
      </c>
      <c r="C202" s="57" t="s">
        <v>16</v>
      </c>
      <c r="D202" s="185">
        <v>1</v>
      </c>
      <c r="E202" s="193">
        <v>1</v>
      </c>
      <c r="F202" s="75">
        <f t="shared" ref="F202:G208" si="14">H202+J202+L202</f>
        <v>5886.6165678571415</v>
      </c>
      <c r="G202" s="135">
        <f t="shared" si="14"/>
        <v>5886.6165599999995</v>
      </c>
      <c r="H202" s="76">
        <v>5886.6165678571415</v>
      </c>
      <c r="I202" s="208">
        <v>5886.6165599999995</v>
      </c>
      <c r="J202" s="28"/>
      <c r="K202" s="209"/>
      <c r="L202" s="28"/>
      <c r="M202" s="209"/>
      <c r="N202" s="210"/>
    </row>
    <row r="203" spans="1:14" ht="95.25" thickBot="1" x14ac:dyDescent="0.3">
      <c r="A203" s="256"/>
      <c r="B203" s="125" t="s">
        <v>37</v>
      </c>
      <c r="C203" s="60" t="s">
        <v>24</v>
      </c>
      <c r="D203" s="191">
        <v>1</v>
      </c>
      <c r="E203" s="192">
        <v>1</v>
      </c>
      <c r="F203" s="36">
        <f t="shared" si="14"/>
        <v>1744.27</v>
      </c>
      <c r="G203" s="137">
        <f t="shared" si="14"/>
        <v>1744.27</v>
      </c>
      <c r="H203" s="33">
        <v>1744.27</v>
      </c>
      <c r="I203" s="172">
        <v>1744.27</v>
      </c>
      <c r="J203" s="29"/>
      <c r="K203" s="211"/>
      <c r="L203" s="29"/>
      <c r="M203" s="211"/>
      <c r="N203" s="212"/>
    </row>
    <row r="204" spans="1:14" ht="66" customHeight="1" thickBot="1" x14ac:dyDescent="0.3">
      <c r="A204" s="40">
        <v>31</v>
      </c>
      <c r="B204" s="123" t="s">
        <v>89</v>
      </c>
      <c r="C204" s="4" t="s">
        <v>16</v>
      </c>
      <c r="D204" s="203">
        <v>1</v>
      </c>
      <c r="E204" s="204">
        <v>1</v>
      </c>
      <c r="F204" s="30">
        <f t="shared" si="14"/>
        <v>1000</v>
      </c>
      <c r="G204" s="167">
        <f t="shared" si="14"/>
        <v>1000</v>
      </c>
      <c r="H204" s="32">
        <v>1000</v>
      </c>
      <c r="I204" s="168">
        <v>1000</v>
      </c>
      <c r="J204" s="32"/>
      <c r="K204" s="168"/>
      <c r="L204" s="32"/>
      <c r="M204" s="168"/>
      <c r="N204" s="169"/>
    </row>
    <row r="205" spans="1:14" ht="47.25" x14ac:dyDescent="0.25">
      <c r="A205" s="255">
        <v>32</v>
      </c>
      <c r="B205" s="114" t="s">
        <v>34</v>
      </c>
      <c r="C205" s="57" t="s">
        <v>16</v>
      </c>
      <c r="D205" s="185">
        <v>1</v>
      </c>
      <c r="E205" s="193">
        <v>1</v>
      </c>
      <c r="F205" s="75">
        <f t="shared" si="14"/>
        <v>890</v>
      </c>
      <c r="G205" s="135">
        <f t="shared" si="14"/>
        <v>890</v>
      </c>
      <c r="H205" s="78">
        <v>890</v>
      </c>
      <c r="I205" s="159">
        <v>890</v>
      </c>
      <c r="J205" s="25"/>
      <c r="K205" s="194"/>
      <c r="L205" s="25"/>
      <c r="M205" s="194"/>
      <c r="N205" s="195"/>
    </row>
    <row r="206" spans="1:14" ht="63.75" thickBot="1" x14ac:dyDescent="0.3">
      <c r="A206" s="284"/>
      <c r="B206" s="125" t="s">
        <v>35</v>
      </c>
      <c r="C206" s="60" t="s">
        <v>24</v>
      </c>
      <c r="D206" s="191">
        <v>1</v>
      </c>
      <c r="E206" s="192">
        <v>1</v>
      </c>
      <c r="F206" s="36">
        <f t="shared" si="14"/>
        <v>1405.933</v>
      </c>
      <c r="G206" s="137">
        <f t="shared" si="14"/>
        <v>1405.933</v>
      </c>
      <c r="H206" s="21">
        <v>1405.933</v>
      </c>
      <c r="I206" s="163">
        <v>1405.933</v>
      </c>
      <c r="J206" s="26"/>
      <c r="K206" s="196"/>
      <c r="L206" s="26"/>
      <c r="M206" s="196"/>
      <c r="N206" s="197"/>
    </row>
    <row r="207" spans="1:14" ht="47.25" x14ac:dyDescent="0.25">
      <c r="A207" s="101">
        <v>33</v>
      </c>
      <c r="B207" s="111" t="s">
        <v>10</v>
      </c>
      <c r="C207" s="51"/>
      <c r="D207" s="152" t="s">
        <v>645</v>
      </c>
      <c r="E207" s="104" t="s">
        <v>652</v>
      </c>
      <c r="F207" s="75">
        <f t="shared" si="14"/>
        <v>580438</v>
      </c>
      <c r="G207" s="135">
        <f t="shared" si="14"/>
        <v>580494.56195999996</v>
      </c>
      <c r="H207" s="34">
        <v>580438</v>
      </c>
      <c r="I207" s="213">
        <f>SUM(I208:I320)</f>
        <v>580494.56195999996</v>
      </c>
      <c r="J207" s="78"/>
      <c r="K207" s="159"/>
      <c r="L207" s="78"/>
      <c r="M207" s="159"/>
      <c r="N207" s="160"/>
    </row>
    <row r="208" spans="1:14" outlineLevel="1" x14ac:dyDescent="0.25">
      <c r="A208" s="41" t="s">
        <v>173</v>
      </c>
      <c r="B208" s="117" t="s">
        <v>40</v>
      </c>
      <c r="C208" s="55" t="s">
        <v>20</v>
      </c>
      <c r="D208" s="156">
        <v>31</v>
      </c>
      <c r="E208" s="132">
        <v>31</v>
      </c>
      <c r="F208" s="108">
        <f t="shared" si="14"/>
        <v>48050</v>
      </c>
      <c r="G208" s="136">
        <f t="shared" si="14"/>
        <v>48050</v>
      </c>
      <c r="H208" s="110">
        <v>48050</v>
      </c>
      <c r="I208" s="138">
        <v>48050</v>
      </c>
      <c r="J208" s="110"/>
      <c r="K208" s="138"/>
      <c r="L208" s="110"/>
      <c r="M208" s="138"/>
      <c r="N208" s="147"/>
    </row>
    <row r="209" spans="1:14" ht="31.5" outlineLevel="1" x14ac:dyDescent="0.25">
      <c r="A209" s="41" t="s">
        <v>174</v>
      </c>
      <c r="B209" s="117" t="s">
        <v>90</v>
      </c>
      <c r="C209" s="55" t="s">
        <v>20</v>
      </c>
      <c r="D209" s="156">
        <v>7</v>
      </c>
      <c r="E209" s="132">
        <v>9</v>
      </c>
      <c r="F209" s="108">
        <f t="shared" ref="F209:F274" si="15">H209+J209+L209</f>
        <v>21000</v>
      </c>
      <c r="G209" s="136">
        <f t="shared" ref="G209:G275" si="16">I209+K209+M209</f>
        <v>21000</v>
      </c>
      <c r="H209" s="110">
        <v>21000</v>
      </c>
      <c r="I209" s="138">
        <v>21000</v>
      </c>
      <c r="J209" s="110"/>
      <c r="K209" s="138"/>
      <c r="L209" s="110"/>
      <c r="M209" s="138"/>
      <c r="N209" s="147"/>
    </row>
    <row r="210" spans="1:14" ht="31.5" outlineLevel="1" x14ac:dyDescent="0.25">
      <c r="A210" s="41" t="s">
        <v>175</v>
      </c>
      <c r="B210" s="117" t="s">
        <v>90</v>
      </c>
      <c r="C210" s="55" t="s">
        <v>20</v>
      </c>
      <c r="D210" s="156">
        <v>3</v>
      </c>
      <c r="E210" s="132">
        <v>1</v>
      </c>
      <c r="F210" s="108">
        <f t="shared" si="15"/>
        <v>9000</v>
      </c>
      <c r="G210" s="136">
        <f t="shared" si="16"/>
        <v>9000</v>
      </c>
      <c r="H210" s="110">
        <v>9000</v>
      </c>
      <c r="I210" s="138">
        <v>9000</v>
      </c>
      <c r="J210" s="110"/>
      <c r="K210" s="138"/>
      <c r="L210" s="110"/>
      <c r="M210" s="138"/>
      <c r="N210" s="147"/>
    </row>
    <row r="211" spans="1:14" outlineLevel="1" x14ac:dyDescent="0.25">
      <c r="A211" s="41" t="s">
        <v>176</v>
      </c>
      <c r="B211" s="117" t="s">
        <v>91</v>
      </c>
      <c r="C211" s="55" t="s">
        <v>20</v>
      </c>
      <c r="D211" s="156">
        <v>21</v>
      </c>
      <c r="E211" s="132">
        <v>21</v>
      </c>
      <c r="F211" s="108">
        <f t="shared" si="15"/>
        <v>56700</v>
      </c>
      <c r="G211" s="136">
        <f t="shared" si="16"/>
        <v>56700</v>
      </c>
      <c r="H211" s="110">
        <v>56700</v>
      </c>
      <c r="I211" s="138">
        <v>56700</v>
      </c>
      <c r="J211" s="110"/>
      <c r="K211" s="138"/>
      <c r="L211" s="110"/>
      <c r="M211" s="138"/>
      <c r="N211" s="147"/>
    </row>
    <row r="212" spans="1:14" ht="31.5" outlineLevel="1" x14ac:dyDescent="0.25">
      <c r="A212" s="41" t="s">
        <v>177</v>
      </c>
      <c r="B212" s="117" t="s">
        <v>92</v>
      </c>
      <c r="C212" s="55" t="s">
        <v>21</v>
      </c>
      <c r="D212" s="156">
        <v>2</v>
      </c>
      <c r="E212" s="132">
        <v>2</v>
      </c>
      <c r="F212" s="108">
        <f t="shared" si="15"/>
        <v>42000</v>
      </c>
      <c r="G212" s="136">
        <f t="shared" si="16"/>
        <v>42000</v>
      </c>
      <c r="H212" s="110">
        <v>42000</v>
      </c>
      <c r="I212" s="138">
        <v>42000</v>
      </c>
      <c r="J212" s="110"/>
      <c r="K212" s="138"/>
      <c r="L212" s="110"/>
      <c r="M212" s="138"/>
      <c r="N212" s="147"/>
    </row>
    <row r="213" spans="1:14" outlineLevel="1" x14ac:dyDescent="0.25">
      <c r="A213" s="41" t="s">
        <v>178</v>
      </c>
      <c r="B213" s="117" t="s">
        <v>41</v>
      </c>
      <c r="C213" s="55" t="s">
        <v>21</v>
      </c>
      <c r="D213" s="156">
        <v>29</v>
      </c>
      <c r="E213" s="132">
        <v>29</v>
      </c>
      <c r="F213" s="108">
        <f t="shared" si="15"/>
        <v>11890</v>
      </c>
      <c r="G213" s="136">
        <f t="shared" si="16"/>
        <v>11890</v>
      </c>
      <c r="H213" s="110">
        <v>11890</v>
      </c>
      <c r="I213" s="138">
        <v>11890</v>
      </c>
      <c r="J213" s="110"/>
      <c r="K213" s="138"/>
      <c r="L213" s="110"/>
      <c r="M213" s="138"/>
      <c r="N213" s="147"/>
    </row>
    <row r="214" spans="1:14" ht="63" outlineLevel="1" x14ac:dyDescent="0.25">
      <c r="A214" s="41" t="s">
        <v>179</v>
      </c>
      <c r="B214" s="117" t="s">
        <v>42</v>
      </c>
      <c r="C214" s="55" t="s">
        <v>21</v>
      </c>
      <c r="D214" s="156">
        <v>21</v>
      </c>
      <c r="E214" s="132">
        <v>21</v>
      </c>
      <c r="F214" s="108">
        <f t="shared" si="15"/>
        <v>2639.28</v>
      </c>
      <c r="G214" s="136">
        <f t="shared" si="16"/>
        <v>2639.28</v>
      </c>
      <c r="H214" s="110">
        <v>2639.28</v>
      </c>
      <c r="I214" s="138">
        <f>(125680*21)/1000</f>
        <v>2639.28</v>
      </c>
      <c r="J214" s="110"/>
      <c r="K214" s="138"/>
      <c r="L214" s="110"/>
      <c r="M214" s="138"/>
      <c r="N214" s="147"/>
    </row>
    <row r="215" spans="1:14" ht="31.5" outlineLevel="1" x14ac:dyDescent="0.25">
      <c r="A215" s="41" t="s">
        <v>180</v>
      </c>
      <c r="B215" s="117" t="s">
        <v>43</v>
      </c>
      <c r="C215" s="55" t="s">
        <v>21</v>
      </c>
      <c r="D215" s="156">
        <v>12</v>
      </c>
      <c r="E215" s="132">
        <v>12</v>
      </c>
      <c r="F215" s="108">
        <f t="shared" si="15"/>
        <v>4020</v>
      </c>
      <c r="G215" s="136">
        <f t="shared" si="16"/>
        <v>4020</v>
      </c>
      <c r="H215" s="110">
        <v>4020</v>
      </c>
      <c r="I215" s="138">
        <v>4020</v>
      </c>
      <c r="J215" s="110"/>
      <c r="K215" s="138"/>
      <c r="L215" s="110"/>
      <c r="M215" s="138"/>
      <c r="N215" s="147"/>
    </row>
    <row r="216" spans="1:14" outlineLevel="1" x14ac:dyDescent="0.25">
      <c r="A216" s="41" t="s">
        <v>181</v>
      </c>
      <c r="B216" s="117" t="s">
        <v>44</v>
      </c>
      <c r="C216" s="55" t="s">
        <v>20</v>
      </c>
      <c r="D216" s="156">
        <v>21</v>
      </c>
      <c r="E216" s="132">
        <v>21</v>
      </c>
      <c r="F216" s="108">
        <f t="shared" si="15"/>
        <v>5246.43</v>
      </c>
      <c r="G216" s="136">
        <f t="shared" si="16"/>
        <v>5246.43</v>
      </c>
      <c r="H216" s="110">
        <v>5246.43</v>
      </c>
      <c r="I216" s="138">
        <f>(249830*21)/1000</f>
        <v>5246.43</v>
      </c>
      <c r="J216" s="110"/>
      <c r="K216" s="138"/>
      <c r="L216" s="110"/>
      <c r="M216" s="138"/>
      <c r="N216" s="147"/>
    </row>
    <row r="217" spans="1:14" outlineLevel="1" x14ac:dyDescent="0.25">
      <c r="A217" s="41" t="s">
        <v>182</v>
      </c>
      <c r="B217" s="117" t="s">
        <v>45</v>
      </c>
      <c r="C217" s="55" t="s">
        <v>21</v>
      </c>
      <c r="D217" s="156">
        <v>4</v>
      </c>
      <c r="E217" s="132">
        <v>4</v>
      </c>
      <c r="F217" s="108">
        <f t="shared" si="15"/>
        <v>3469.64</v>
      </c>
      <c r="G217" s="136">
        <f t="shared" si="16"/>
        <v>3469.64</v>
      </c>
      <c r="H217" s="110">
        <v>3469.64</v>
      </c>
      <c r="I217" s="138">
        <f>3469640/1000</f>
        <v>3469.64</v>
      </c>
      <c r="J217" s="110"/>
      <c r="K217" s="138"/>
      <c r="L217" s="110"/>
      <c r="M217" s="138"/>
      <c r="N217" s="147"/>
    </row>
    <row r="218" spans="1:14" outlineLevel="1" x14ac:dyDescent="0.25">
      <c r="A218" s="41" t="s">
        <v>183</v>
      </c>
      <c r="B218" s="117" t="s">
        <v>46</v>
      </c>
      <c r="C218" s="55" t="s">
        <v>21</v>
      </c>
      <c r="D218" s="156">
        <v>4</v>
      </c>
      <c r="E218" s="132">
        <v>4</v>
      </c>
      <c r="F218" s="108">
        <f t="shared" si="15"/>
        <v>3563.76</v>
      </c>
      <c r="G218" s="136">
        <f t="shared" si="16"/>
        <v>3563.76</v>
      </c>
      <c r="H218" s="110">
        <v>3563.76</v>
      </c>
      <c r="I218" s="138">
        <f>3563760/1000</f>
        <v>3563.76</v>
      </c>
      <c r="J218" s="110"/>
      <c r="K218" s="138"/>
      <c r="L218" s="110"/>
      <c r="M218" s="138"/>
      <c r="N218" s="147"/>
    </row>
    <row r="219" spans="1:14" ht="31.5" outlineLevel="1" x14ac:dyDescent="0.25">
      <c r="A219" s="41" t="s">
        <v>184</v>
      </c>
      <c r="B219" s="117" t="s">
        <v>47</v>
      </c>
      <c r="C219" s="55" t="s">
        <v>21</v>
      </c>
      <c r="D219" s="156">
        <v>14</v>
      </c>
      <c r="E219" s="132">
        <v>14</v>
      </c>
      <c r="F219" s="108">
        <f t="shared" si="15"/>
        <v>3707.2000000000003</v>
      </c>
      <c r="G219" s="136">
        <f t="shared" si="16"/>
        <v>3707.2</v>
      </c>
      <c r="H219" s="110">
        <v>3707.2000000000003</v>
      </c>
      <c r="I219" s="138">
        <f>(264800*14)/1000</f>
        <v>3707.2</v>
      </c>
      <c r="J219" s="110"/>
      <c r="K219" s="138"/>
      <c r="L219" s="110"/>
      <c r="M219" s="138"/>
      <c r="N219" s="147"/>
    </row>
    <row r="220" spans="1:14" ht="31.5" outlineLevel="1" x14ac:dyDescent="0.25">
      <c r="A220" s="41" t="s">
        <v>185</v>
      </c>
      <c r="B220" s="117" t="s">
        <v>93</v>
      </c>
      <c r="C220" s="55" t="s">
        <v>22</v>
      </c>
      <c r="D220" s="156">
        <v>5</v>
      </c>
      <c r="E220" s="132">
        <v>5</v>
      </c>
      <c r="F220" s="108">
        <f t="shared" si="15"/>
        <v>820.8</v>
      </c>
      <c r="G220" s="136">
        <f t="shared" si="16"/>
        <v>820.8</v>
      </c>
      <c r="H220" s="110">
        <v>820.8</v>
      </c>
      <c r="I220" s="138">
        <f>(164160*5)/1000</f>
        <v>820.8</v>
      </c>
      <c r="J220" s="110"/>
      <c r="K220" s="138"/>
      <c r="L220" s="110"/>
      <c r="M220" s="138"/>
      <c r="N220" s="147"/>
    </row>
    <row r="221" spans="1:14" ht="31.5" outlineLevel="1" x14ac:dyDescent="0.25">
      <c r="A221" s="41" t="s">
        <v>186</v>
      </c>
      <c r="B221" s="117" t="s">
        <v>94</v>
      </c>
      <c r="C221" s="55" t="s">
        <v>21</v>
      </c>
      <c r="D221" s="156">
        <v>6</v>
      </c>
      <c r="E221" s="132">
        <v>6</v>
      </c>
      <c r="F221" s="108">
        <f t="shared" si="15"/>
        <v>1440.42</v>
      </c>
      <c r="G221" s="136">
        <f t="shared" si="16"/>
        <v>1440.42</v>
      </c>
      <c r="H221" s="110">
        <v>1440.42</v>
      </c>
      <c r="I221" s="138">
        <f>(240070*6)/1000</f>
        <v>1440.42</v>
      </c>
      <c r="J221" s="110"/>
      <c r="K221" s="138"/>
      <c r="L221" s="110"/>
      <c r="M221" s="138"/>
      <c r="N221" s="147"/>
    </row>
    <row r="222" spans="1:14" ht="31.5" outlineLevel="1" x14ac:dyDescent="0.25">
      <c r="A222" s="41" t="s">
        <v>187</v>
      </c>
      <c r="B222" s="117" t="s">
        <v>48</v>
      </c>
      <c r="C222" s="55" t="s">
        <v>21</v>
      </c>
      <c r="D222" s="156">
        <v>12</v>
      </c>
      <c r="E222" s="132">
        <v>12</v>
      </c>
      <c r="F222" s="108">
        <f t="shared" si="15"/>
        <v>99.12</v>
      </c>
      <c r="G222" s="136">
        <f t="shared" si="16"/>
        <v>99.12</v>
      </c>
      <c r="H222" s="110">
        <v>99.12</v>
      </c>
      <c r="I222" s="138">
        <f>(8260*12)/1000</f>
        <v>99.12</v>
      </c>
      <c r="J222" s="110"/>
      <c r="K222" s="138"/>
      <c r="L222" s="110"/>
      <c r="M222" s="138"/>
      <c r="N222" s="147"/>
    </row>
    <row r="223" spans="1:14" outlineLevel="1" x14ac:dyDescent="0.25">
      <c r="A223" s="41" t="s">
        <v>188</v>
      </c>
      <c r="B223" s="117" t="s">
        <v>49</v>
      </c>
      <c r="C223" s="55" t="s">
        <v>21</v>
      </c>
      <c r="D223" s="156">
        <v>119</v>
      </c>
      <c r="E223" s="132">
        <v>119</v>
      </c>
      <c r="F223" s="108">
        <f t="shared" si="15"/>
        <v>2533.5099999999998</v>
      </c>
      <c r="G223" s="136">
        <f t="shared" si="16"/>
        <v>2533.5100000000002</v>
      </c>
      <c r="H223" s="110">
        <v>2533.5099999999998</v>
      </c>
      <c r="I223" s="138">
        <f>(21290*119)/1000</f>
        <v>2533.5100000000002</v>
      </c>
      <c r="J223" s="110"/>
      <c r="K223" s="138"/>
      <c r="L223" s="110"/>
      <c r="M223" s="138"/>
      <c r="N223" s="147"/>
    </row>
    <row r="224" spans="1:14" ht="31.5" outlineLevel="1" x14ac:dyDescent="0.25">
      <c r="A224" s="41" t="s">
        <v>189</v>
      </c>
      <c r="B224" s="117" t="s">
        <v>50</v>
      </c>
      <c r="C224" s="55" t="s">
        <v>20</v>
      </c>
      <c r="D224" s="156">
        <v>2</v>
      </c>
      <c r="E224" s="132">
        <v>2</v>
      </c>
      <c r="F224" s="108">
        <f t="shared" si="15"/>
        <v>397</v>
      </c>
      <c r="G224" s="136">
        <f t="shared" si="16"/>
        <v>397</v>
      </c>
      <c r="H224" s="110">
        <v>397</v>
      </c>
      <c r="I224" s="138">
        <f>(198500*2)/1000</f>
        <v>397</v>
      </c>
      <c r="J224" s="110"/>
      <c r="K224" s="138"/>
      <c r="L224" s="110"/>
      <c r="M224" s="138"/>
      <c r="N224" s="147"/>
    </row>
    <row r="225" spans="1:14" outlineLevel="1" x14ac:dyDescent="0.25">
      <c r="A225" s="41" t="s">
        <v>190</v>
      </c>
      <c r="B225" s="117" t="s">
        <v>51</v>
      </c>
      <c r="C225" s="55" t="s">
        <v>21</v>
      </c>
      <c r="D225" s="156">
        <v>1</v>
      </c>
      <c r="E225" s="132">
        <v>1</v>
      </c>
      <c r="F225" s="108">
        <f t="shared" si="15"/>
        <v>754.94056999999998</v>
      </c>
      <c r="G225" s="136">
        <f t="shared" si="16"/>
        <v>754.94056999999998</v>
      </c>
      <c r="H225" s="110">
        <v>754.94056999999998</v>
      </c>
      <c r="I225" s="138">
        <v>754.94056999999998</v>
      </c>
      <c r="J225" s="110"/>
      <c r="K225" s="138"/>
      <c r="L225" s="110"/>
      <c r="M225" s="138"/>
      <c r="N225" s="147"/>
    </row>
    <row r="226" spans="1:14" outlineLevel="1" x14ac:dyDescent="0.25">
      <c r="A226" s="41" t="s">
        <v>191</v>
      </c>
      <c r="B226" s="117" t="s">
        <v>52</v>
      </c>
      <c r="C226" s="55" t="s">
        <v>21</v>
      </c>
      <c r="D226" s="156">
        <v>1</v>
      </c>
      <c r="E226" s="132">
        <v>1</v>
      </c>
      <c r="F226" s="108">
        <f t="shared" si="15"/>
        <v>676.93499999999995</v>
      </c>
      <c r="G226" s="136">
        <f t="shared" si="16"/>
        <v>676.93499999999995</v>
      </c>
      <c r="H226" s="110">
        <v>676.93499999999995</v>
      </c>
      <c r="I226" s="138">
        <v>676.93499999999995</v>
      </c>
      <c r="J226" s="110"/>
      <c r="K226" s="138"/>
      <c r="L226" s="110"/>
      <c r="M226" s="138"/>
      <c r="N226" s="147"/>
    </row>
    <row r="227" spans="1:14" ht="47.25" outlineLevel="1" x14ac:dyDescent="0.25">
      <c r="A227" s="41" t="s">
        <v>192</v>
      </c>
      <c r="B227" s="117" t="s">
        <v>95</v>
      </c>
      <c r="C227" s="55" t="s">
        <v>21</v>
      </c>
      <c r="D227" s="156">
        <v>1</v>
      </c>
      <c r="E227" s="132">
        <v>1</v>
      </c>
      <c r="F227" s="108">
        <f t="shared" si="15"/>
        <v>13219.52</v>
      </c>
      <c r="G227" s="136">
        <f t="shared" si="16"/>
        <v>13219.52</v>
      </c>
      <c r="H227" s="110">
        <v>13219.52</v>
      </c>
      <c r="I227" s="138">
        <v>13219.52</v>
      </c>
      <c r="J227" s="110"/>
      <c r="K227" s="138"/>
      <c r="L227" s="110"/>
      <c r="M227" s="138"/>
      <c r="N227" s="147"/>
    </row>
    <row r="228" spans="1:14" ht="31.5" outlineLevel="1" x14ac:dyDescent="0.25">
      <c r="A228" s="41" t="s">
        <v>193</v>
      </c>
      <c r="B228" s="117" t="s">
        <v>96</v>
      </c>
      <c r="C228" s="55" t="s">
        <v>21</v>
      </c>
      <c r="D228" s="156">
        <v>22</v>
      </c>
      <c r="E228" s="132">
        <v>22</v>
      </c>
      <c r="F228" s="108">
        <f t="shared" si="15"/>
        <v>14592.599999999999</v>
      </c>
      <c r="G228" s="136">
        <f t="shared" si="16"/>
        <v>14592.6</v>
      </c>
      <c r="H228" s="110">
        <v>14592.599999999999</v>
      </c>
      <c r="I228" s="138">
        <f>(663300*22)/1000</f>
        <v>14592.6</v>
      </c>
      <c r="J228" s="110"/>
      <c r="K228" s="138"/>
      <c r="L228" s="110"/>
      <c r="M228" s="138"/>
      <c r="N228" s="147"/>
    </row>
    <row r="229" spans="1:14" ht="31.5" outlineLevel="1" x14ac:dyDescent="0.25">
      <c r="A229" s="41" t="s">
        <v>194</v>
      </c>
      <c r="B229" s="117" t="s">
        <v>97</v>
      </c>
      <c r="C229" s="55" t="s">
        <v>21</v>
      </c>
      <c r="D229" s="156">
        <v>4</v>
      </c>
      <c r="E229" s="132">
        <v>4</v>
      </c>
      <c r="F229" s="108">
        <f t="shared" si="15"/>
        <v>4636.4399999999996</v>
      </c>
      <c r="G229" s="136">
        <f t="shared" si="16"/>
        <v>4636.4399999999996</v>
      </c>
      <c r="H229" s="110">
        <v>4636.4399999999996</v>
      </c>
      <c r="I229" s="138">
        <f>4636440/1000</f>
        <v>4636.4399999999996</v>
      </c>
      <c r="J229" s="110"/>
      <c r="K229" s="138"/>
      <c r="L229" s="110"/>
      <c r="M229" s="138"/>
      <c r="N229" s="147"/>
    </row>
    <row r="230" spans="1:14" ht="31.5" outlineLevel="1" x14ac:dyDescent="0.25">
      <c r="A230" s="41" t="s">
        <v>195</v>
      </c>
      <c r="B230" s="117" t="s">
        <v>98</v>
      </c>
      <c r="C230" s="55" t="s">
        <v>21</v>
      </c>
      <c r="D230" s="156">
        <v>5</v>
      </c>
      <c r="E230" s="132">
        <v>5</v>
      </c>
      <c r="F230" s="108">
        <f t="shared" si="15"/>
        <v>800</v>
      </c>
      <c r="G230" s="136">
        <f t="shared" si="16"/>
        <v>800</v>
      </c>
      <c r="H230" s="110">
        <v>800</v>
      </c>
      <c r="I230" s="138">
        <f>(160000*5)/1000</f>
        <v>800</v>
      </c>
      <c r="J230" s="110"/>
      <c r="K230" s="138"/>
      <c r="L230" s="110"/>
      <c r="M230" s="138"/>
      <c r="N230" s="147"/>
    </row>
    <row r="231" spans="1:14" ht="47.25" outlineLevel="1" x14ac:dyDescent="0.25">
      <c r="A231" s="41" t="s">
        <v>196</v>
      </c>
      <c r="B231" s="117" t="s">
        <v>69</v>
      </c>
      <c r="C231" s="55" t="s">
        <v>21</v>
      </c>
      <c r="D231" s="156">
        <v>9</v>
      </c>
      <c r="E231" s="132">
        <v>9</v>
      </c>
      <c r="F231" s="108">
        <f t="shared" si="15"/>
        <v>1190.7</v>
      </c>
      <c r="G231" s="136">
        <f t="shared" si="16"/>
        <v>1181.7</v>
      </c>
      <c r="H231" s="110">
        <v>1190.7</v>
      </c>
      <c r="I231" s="138">
        <f>(131300*9)/1000</f>
        <v>1181.7</v>
      </c>
      <c r="J231" s="110"/>
      <c r="K231" s="138"/>
      <c r="L231" s="110"/>
      <c r="M231" s="138"/>
      <c r="N231" s="147"/>
    </row>
    <row r="232" spans="1:14" s="79" customFormat="1" ht="31.5" outlineLevel="1" x14ac:dyDescent="0.25">
      <c r="A232" s="41" t="s">
        <v>197</v>
      </c>
      <c r="B232" s="117" t="s">
        <v>71</v>
      </c>
      <c r="C232" s="55" t="s">
        <v>21</v>
      </c>
      <c r="D232" s="156">
        <v>1</v>
      </c>
      <c r="E232" s="132">
        <v>1</v>
      </c>
      <c r="F232" s="108">
        <f t="shared" si="15"/>
        <v>804.125</v>
      </c>
      <c r="G232" s="136">
        <f t="shared" si="16"/>
        <v>804.125</v>
      </c>
      <c r="H232" s="110">
        <v>804.125</v>
      </c>
      <c r="I232" s="138">
        <v>804.125</v>
      </c>
      <c r="J232" s="110"/>
      <c r="K232" s="138"/>
      <c r="L232" s="110"/>
      <c r="M232" s="138"/>
      <c r="N232" s="147"/>
    </row>
    <row r="233" spans="1:14" s="79" customFormat="1" ht="31.5" outlineLevel="1" x14ac:dyDescent="0.25">
      <c r="A233" s="41" t="s">
        <v>198</v>
      </c>
      <c r="B233" s="117" t="s">
        <v>72</v>
      </c>
      <c r="C233" s="55" t="s">
        <v>21</v>
      </c>
      <c r="D233" s="156">
        <v>1</v>
      </c>
      <c r="E233" s="132">
        <v>1</v>
      </c>
      <c r="F233" s="108">
        <f t="shared" si="15"/>
        <v>804.125</v>
      </c>
      <c r="G233" s="136">
        <f t="shared" si="16"/>
        <v>804.125</v>
      </c>
      <c r="H233" s="110">
        <v>804.125</v>
      </c>
      <c r="I233" s="138">
        <v>804.125</v>
      </c>
      <c r="J233" s="110"/>
      <c r="K233" s="138"/>
      <c r="L233" s="110"/>
      <c r="M233" s="138"/>
      <c r="N233" s="147"/>
    </row>
    <row r="234" spans="1:14" s="79" customFormat="1" ht="31.5" outlineLevel="1" x14ac:dyDescent="0.25">
      <c r="A234" s="41" t="s">
        <v>199</v>
      </c>
      <c r="B234" s="117" t="s">
        <v>73</v>
      </c>
      <c r="C234" s="55" t="s">
        <v>21</v>
      </c>
      <c r="D234" s="156">
        <v>1</v>
      </c>
      <c r="E234" s="132">
        <v>1</v>
      </c>
      <c r="F234" s="108">
        <f t="shared" si="15"/>
        <v>892.52</v>
      </c>
      <c r="G234" s="136">
        <f t="shared" si="16"/>
        <v>892.52</v>
      </c>
      <c r="H234" s="110">
        <v>892.52</v>
      </c>
      <c r="I234" s="138">
        <f>892520/1000</f>
        <v>892.52</v>
      </c>
      <c r="J234" s="110"/>
      <c r="K234" s="138"/>
      <c r="L234" s="110"/>
      <c r="M234" s="138"/>
      <c r="N234" s="147"/>
    </row>
    <row r="235" spans="1:14" s="79" customFormat="1" outlineLevel="1" x14ac:dyDescent="0.25">
      <c r="A235" s="41" t="s">
        <v>200</v>
      </c>
      <c r="B235" s="117" t="s">
        <v>99</v>
      </c>
      <c r="C235" s="55" t="s">
        <v>21</v>
      </c>
      <c r="D235" s="156">
        <v>4</v>
      </c>
      <c r="E235" s="132">
        <v>4</v>
      </c>
      <c r="F235" s="108">
        <f t="shared" si="15"/>
        <v>1098.8</v>
      </c>
      <c r="G235" s="136">
        <f t="shared" si="16"/>
        <v>1098.8</v>
      </c>
      <c r="H235" s="110">
        <v>1098.8</v>
      </c>
      <c r="I235" s="138">
        <f>(274700*4)/1000</f>
        <v>1098.8</v>
      </c>
      <c r="J235" s="110"/>
      <c r="K235" s="138"/>
      <c r="L235" s="110"/>
      <c r="M235" s="138"/>
      <c r="N235" s="147"/>
    </row>
    <row r="236" spans="1:14" s="79" customFormat="1" outlineLevel="1" x14ac:dyDescent="0.25">
      <c r="A236" s="41" t="s">
        <v>201</v>
      </c>
      <c r="B236" s="117" t="s">
        <v>53</v>
      </c>
      <c r="C236" s="55" t="s">
        <v>21</v>
      </c>
      <c r="D236" s="156">
        <v>4</v>
      </c>
      <c r="E236" s="132">
        <v>4</v>
      </c>
      <c r="F236" s="108">
        <f t="shared" si="15"/>
        <v>2704</v>
      </c>
      <c r="G236" s="136">
        <f t="shared" si="16"/>
        <v>2704</v>
      </c>
      <c r="H236" s="110">
        <v>2704</v>
      </c>
      <c r="I236" s="138">
        <f>2704000/1000</f>
        <v>2704</v>
      </c>
      <c r="J236" s="110"/>
      <c r="K236" s="138"/>
      <c r="L236" s="110"/>
      <c r="M236" s="138"/>
      <c r="N236" s="147"/>
    </row>
    <row r="237" spans="1:14" s="79" customFormat="1" outlineLevel="1" x14ac:dyDescent="0.25">
      <c r="A237" s="41" t="s">
        <v>202</v>
      </c>
      <c r="B237" s="117" t="s">
        <v>54</v>
      </c>
      <c r="C237" s="55" t="s">
        <v>21</v>
      </c>
      <c r="D237" s="156">
        <v>4</v>
      </c>
      <c r="E237" s="132">
        <v>4</v>
      </c>
      <c r="F237" s="108">
        <f t="shared" si="15"/>
        <v>4624</v>
      </c>
      <c r="G237" s="136">
        <f t="shared" si="16"/>
        <v>4624</v>
      </c>
      <c r="H237" s="110">
        <v>4624</v>
      </c>
      <c r="I237" s="138">
        <v>4624</v>
      </c>
      <c r="J237" s="110"/>
      <c r="K237" s="138"/>
      <c r="L237" s="110"/>
      <c r="M237" s="138"/>
      <c r="N237" s="147"/>
    </row>
    <row r="238" spans="1:14" s="79" customFormat="1" outlineLevel="1" x14ac:dyDescent="0.25">
      <c r="A238" s="41" t="s">
        <v>203</v>
      </c>
      <c r="B238" s="117" t="s">
        <v>68</v>
      </c>
      <c r="C238" s="55" t="s">
        <v>21</v>
      </c>
      <c r="D238" s="156">
        <v>23</v>
      </c>
      <c r="E238" s="132">
        <v>23</v>
      </c>
      <c r="F238" s="108">
        <f t="shared" si="15"/>
        <v>5205.4749999999995</v>
      </c>
      <c r="G238" s="136">
        <f t="shared" si="16"/>
        <v>5205.4750000000004</v>
      </c>
      <c r="H238" s="110">
        <v>5205.4749999999995</v>
      </c>
      <c r="I238" s="138">
        <f>(226325*23)/1000</f>
        <v>5205.4750000000004</v>
      </c>
      <c r="J238" s="110"/>
      <c r="K238" s="138"/>
      <c r="L238" s="110"/>
      <c r="M238" s="138"/>
      <c r="N238" s="147"/>
    </row>
    <row r="239" spans="1:14" s="79" customFormat="1" outlineLevel="1" x14ac:dyDescent="0.25">
      <c r="A239" s="41" t="s">
        <v>204</v>
      </c>
      <c r="B239" s="117" t="s">
        <v>55</v>
      </c>
      <c r="C239" s="55" t="s">
        <v>21</v>
      </c>
      <c r="D239" s="156">
        <v>4</v>
      </c>
      <c r="E239" s="132">
        <v>0</v>
      </c>
      <c r="F239" s="108">
        <f t="shared" si="15"/>
        <v>898.6</v>
      </c>
      <c r="G239" s="136">
        <f t="shared" si="16"/>
        <v>0</v>
      </c>
      <c r="H239" s="110">
        <v>898.6</v>
      </c>
      <c r="I239" s="138">
        <v>0</v>
      </c>
      <c r="J239" s="110"/>
      <c r="K239" s="138"/>
      <c r="L239" s="110"/>
      <c r="M239" s="138"/>
      <c r="N239" s="147"/>
    </row>
    <row r="240" spans="1:14" s="79" customFormat="1" outlineLevel="1" x14ac:dyDescent="0.25">
      <c r="A240" s="41" t="s">
        <v>205</v>
      </c>
      <c r="B240" s="117" t="s">
        <v>56</v>
      </c>
      <c r="C240" s="55" t="s">
        <v>21</v>
      </c>
      <c r="D240" s="156">
        <v>9</v>
      </c>
      <c r="E240" s="132">
        <v>9</v>
      </c>
      <c r="F240" s="108">
        <f t="shared" si="15"/>
        <v>389.7</v>
      </c>
      <c r="G240" s="136">
        <f t="shared" si="16"/>
        <v>389.7</v>
      </c>
      <c r="H240" s="110">
        <v>389.7</v>
      </c>
      <c r="I240" s="138">
        <f>(43300*9)/1000</f>
        <v>389.7</v>
      </c>
      <c r="J240" s="110"/>
      <c r="K240" s="138"/>
      <c r="L240" s="110"/>
      <c r="M240" s="138"/>
      <c r="N240" s="147"/>
    </row>
    <row r="241" spans="1:14" s="79" customFormat="1" outlineLevel="1" x14ac:dyDescent="0.25">
      <c r="A241" s="41" t="s">
        <v>206</v>
      </c>
      <c r="B241" s="117" t="s">
        <v>589</v>
      </c>
      <c r="C241" s="55" t="s">
        <v>21</v>
      </c>
      <c r="D241" s="156">
        <v>4</v>
      </c>
      <c r="E241" s="132">
        <v>4</v>
      </c>
      <c r="F241" s="108">
        <f t="shared" si="15"/>
        <v>1676</v>
      </c>
      <c r="G241" s="136">
        <f t="shared" si="16"/>
        <v>1676</v>
      </c>
      <c r="H241" s="110">
        <v>1676</v>
      </c>
      <c r="I241" s="138">
        <v>1676</v>
      </c>
      <c r="J241" s="110"/>
      <c r="K241" s="138"/>
      <c r="L241" s="110"/>
      <c r="M241" s="138"/>
      <c r="N241" s="147"/>
    </row>
    <row r="242" spans="1:14" s="79" customFormat="1" outlineLevel="1" x14ac:dyDescent="0.25">
      <c r="A242" s="41" t="s">
        <v>207</v>
      </c>
      <c r="B242" s="117" t="s">
        <v>57</v>
      </c>
      <c r="C242" s="55" t="s">
        <v>21</v>
      </c>
      <c r="D242" s="156">
        <v>5</v>
      </c>
      <c r="E242" s="132">
        <v>5</v>
      </c>
      <c r="F242" s="108">
        <f t="shared" si="15"/>
        <v>1459.5</v>
      </c>
      <c r="G242" s="136">
        <f t="shared" si="16"/>
        <v>1350</v>
      </c>
      <c r="H242" s="110">
        <v>1459.5</v>
      </c>
      <c r="I242" s="138">
        <f>(270000*5)/1000</f>
        <v>1350</v>
      </c>
      <c r="J242" s="110"/>
      <c r="K242" s="138"/>
      <c r="L242" s="110"/>
      <c r="M242" s="138"/>
      <c r="N242" s="147"/>
    </row>
    <row r="243" spans="1:14" s="79" customFormat="1" outlineLevel="1" x14ac:dyDescent="0.25">
      <c r="A243" s="41" t="s">
        <v>208</v>
      </c>
      <c r="B243" s="117" t="s">
        <v>58</v>
      </c>
      <c r="C243" s="55" t="s">
        <v>21</v>
      </c>
      <c r="D243" s="156">
        <v>17</v>
      </c>
      <c r="E243" s="132">
        <v>17</v>
      </c>
      <c r="F243" s="108">
        <f t="shared" si="15"/>
        <v>1870</v>
      </c>
      <c r="G243" s="136">
        <f t="shared" si="16"/>
        <v>1870</v>
      </c>
      <c r="H243" s="110">
        <v>1870</v>
      </c>
      <c r="I243" s="138">
        <f>(110000*17)/1000</f>
        <v>1870</v>
      </c>
      <c r="J243" s="110"/>
      <c r="K243" s="138"/>
      <c r="L243" s="110"/>
      <c r="M243" s="138"/>
      <c r="N243" s="147"/>
    </row>
    <row r="244" spans="1:14" s="79" customFormat="1" outlineLevel="1" x14ac:dyDescent="0.25">
      <c r="A244" s="41" t="s">
        <v>209</v>
      </c>
      <c r="B244" s="117" t="s">
        <v>59</v>
      </c>
      <c r="C244" s="55" t="s">
        <v>21</v>
      </c>
      <c r="D244" s="156">
        <v>16</v>
      </c>
      <c r="E244" s="132">
        <v>16</v>
      </c>
      <c r="F244" s="108">
        <f t="shared" si="15"/>
        <v>1360</v>
      </c>
      <c r="G244" s="136">
        <f t="shared" si="16"/>
        <v>1360</v>
      </c>
      <c r="H244" s="110">
        <v>1360</v>
      </c>
      <c r="I244" s="138">
        <f>(85000*16)/1000</f>
        <v>1360</v>
      </c>
      <c r="J244" s="110"/>
      <c r="K244" s="138"/>
      <c r="L244" s="110"/>
      <c r="M244" s="138"/>
      <c r="N244" s="147"/>
    </row>
    <row r="245" spans="1:14" s="79" customFormat="1" ht="28.5" customHeight="1" outlineLevel="1" x14ac:dyDescent="0.25">
      <c r="A245" s="41" t="s">
        <v>210</v>
      </c>
      <c r="B245" s="117" t="s">
        <v>60</v>
      </c>
      <c r="C245" s="55" t="s">
        <v>21</v>
      </c>
      <c r="D245" s="156">
        <v>20</v>
      </c>
      <c r="E245" s="132">
        <v>20</v>
      </c>
      <c r="F245" s="108">
        <f t="shared" si="15"/>
        <v>2723.6000000000004</v>
      </c>
      <c r="G245" s="136">
        <f t="shared" si="16"/>
        <v>2723.6</v>
      </c>
      <c r="H245" s="110">
        <v>2723.6000000000004</v>
      </c>
      <c r="I245" s="138">
        <f>(136180*20)/1000</f>
        <v>2723.6</v>
      </c>
      <c r="J245" s="110"/>
      <c r="K245" s="138"/>
      <c r="L245" s="110"/>
      <c r="M245" s="138"/>
      <c r="N245" s="147"/>
    </row>
    <row r="246" spans="1:14" s="79" customFormat="1" ht="31.5" outlineLevel="1" x14ac:dyDescent="0.25">
      <c r="A246" s="41" t="s">
        <v>211</v>
      </c>
      <c r="B246" s="117" t="s">
        <v>100</v>
      </c>
      <c r="C246" s="55" t="s">
        <v>21</v>
      </c>
      <c r="D246" s="156">
        <v>15</v>
      </c>
      <c r="E246" s="132">
        <v>15</v>
      </c>
      <c r="F246" s="108">
        <f t="shared" si="15"/>
        <v>721.5</v>
      </c>
      <c r="G246" s="136">
        <f t="shared" si="16"/>
        <v>721.5</v>
      </c>
      <c r="H246" s="110">
        <v>721.5</v>
      </c>
      <c r="I246" s="138">
        <f>(48100*15)/1000</f>
        <v>721.5</v>
      </c>
      <c r="J246" s="110"/>
      <c r="K246" s="138"/>
      <c r="L246" s="110"/>
      <c r="M246" s="138"/>
      <c r="N246" s="147"/>
    </row>
    <row r="247" spans="1:14" s="79" customFormat="1" ht="31.5" outlineLevel="1" x14ac:dyDescent="0.25">
      <c r="A247" s="41" t="s">
        <v>212</v>
      </c>
      <c r="B247" s="117" t="s">
        <v>101</v>
      </c>
      <c r="C247" s="55" t="s">
        <v>21</v>
      </c>
      <c r="D247" s="156">
        <v>10</v>
      </c>
      <c r="E247" s="132">
        <v>10</v>
      </c>
      <c r="F247" s="108">
        <f t="shared" si="15"/>
        <v>420</v>
      </c>
      <c r="G247" s="136">
        <f t="shared" si="16"/>
        <v>420</v>
      </c>
      <c r="H247" s="110">
        <v>420</v>
      </c>
      <c r="I247" s="138">
        <f>(42000*10)/1000</f>
        <v>420</v>
      </c>
      <c r="J247" s="110"/>
      <c r="K247" s="138"/>
      <c r="L247" s="110"/>
      <c r="M247" s="138"/>
      <c r="N247" s="147"/>
    </row>
    <row r="248" spans="1:14" s="79" customFormat="1" ht="33" customHeight="1" outlineLevel="1" x14ac:dyDescent="0.25">
      <c r="A248" s="41" t="s">
        <v>213</v>
      </c>
      <c r="B248" s="117" t="s">
        <v>61</v>
      </c>
      <c r="C248" s="55" t="s">
        <v>21</v>
      </c>
      <c r="D248" s="156">
        <v>10</v>
      </c>
      <c r="E248" s="132">
        <v>10</v>
      </c>
      <c r="F248" s="108">
        <f t="shared" si="15"/>
        <v>1273.8</v>
      </c>
      <c r="G248" s="136">
        <f t="shared" si="16"/>
        <v>1273.8</v>
      </c>
      <c r="H248" s="110">
        <v>1273.8</v>
      </c>
      <c r="I248" s="138">
        <f>(127380*10)/1000</f>
        <v>1273.8</v>
      </c>
      <c r="J248" s="110"/>
      <c r="K248" s="138"/>
      <c r="L248" s="110"/>
      <c r="M248" s="138"/>
      <c r="N248" s="147"/>
    </row>
    <row r="249" spans="1:14" s="79" customFormat="1" outlineLevel="1" x14ac:dyDescent="0.25">
      <c r="A249" s="41" t="s">
        <v>214</v>
      </c>
      <c r="B249" s="117" t="s">
        <v>62</v>
      </c>
      <c r="C249" s="55" t="s">
        <v>21</v>
      </c>
      <c r="D249" s="156">
        <v>60</v>
      </c>
      <c r="E249" s="132">
        <v>60</v>
      </c>
      <c r="F249" s="108">
        <f t="shared" si="15"/>
        <v>25914</v>
      </c>
      <c r="G249" s="136">
        <f t="shared" si="16"/>
        <v>25914</v>
      </c>
      <c r="H249" s="110">
        <v>25914</v>
      </c>
      <c r="I249" s="138">
        <v>25914</v>
      </c>
      <c r="J249" s="110"/>
      <c r="K249" s="138"/>
      <c r="L249" s="110"/>
      <c r="M249" s="138"/>
      <c r="N249" s="147"/>
    </row>
    <row r="250" spans="1:14" s="79" customFormat="1" outlineLevel="1" x14ac:dyDescent="0.25">
      <c r="A250" s="41" t="s">
        <v>215</v>
      </c>
      <c r="B250" s="117" t="s">
        <v>70</v>
      </c>
      <c r="C250" s="55" t="s">
        <v>21</v>
      </c>
      <c r="D250" s="156">
        <v>10</v>
      </c>
      <c r="E250" s="132">
        <v>10</v>
      </c>
      <c r="F250" s="108">
        <f t="shared" si="15"/>
        <v>5235.5999999999995</v>
      </c>
      <c r="G250" s="136">
        <f t="shared" si="16"/>
        <v>5235.6000000000004</v>
      </c>
      <c r="H250" s="110">
        <v>5235.5999999999995</v>
      </c>
      <c r="I250" s="138">
        <f>(523560*10)/1000</f>
        <v>5235.6000000000004</v>
      </c>
      <c r="J250" s="110"/>
      <c r="K250" s="138"/>
      <c r="L250" s="110"/>
      <c r="M250" s="138"/>
      <c r="N250" s="147"/>
    </row>
    <row r="251" spans="1:14" s="79" customFormat="1" outlineLevel="1" x14ac:dyDescent="0.25">
      <c r="A251" s="41" t="s">
        <v>216</v>
      </c>
      <c r="B251" s="117" t="s">
        <v>63</v>
      </c>
      <c r="C251" s="55" t="s">
        <v>21</v>
      </c>
      <c r="D251" s="156">
        <v>42</v>
      </c>
      <c r="E251" s="132">
        <v>42</v>
      </c>
      <c r="F251" s="108">
        <f t="shared" si="15"/>
        <v>1010.1</v>
      </c>
      <c r="G251" s="136">
        <f t="shared" si="16"/>
        <v>1010.1</v>
      </c>
      <c r="H251" s="110">
        <v>1010.1</v>
      </c>
      <c r="I251" s="138">
        <f>(24050*42)/1000</f>
        <v>1010.1</v>
      </c>
      <c r="J251" s="110"/>
      <c r="K251" s="138"/>
      <c r="L251" s="110"/>
      <c r="M251" s="138"/>
      <c r="N251" s="147"/>
    </row>
    <row r="252" spans="1:14" s="79" customFormat="1" outlineLevel="1" x14ac:dyDescent="0.25">
      <c r="A252" s="41" t="s">
        <v>217</v>
      </c>
      <c r="B252" s="117" t="s">
        <v>64</v>
      </c>
      <c r="C252" s="55" t="s">
        <v>21</v>
      </c>
      <c r="D252" s="156">
        <v>9</v>
      </c>
      <c r="E252" s="132">
        <v>9</v>
      </c>
      <c r="F252" s="108">
        <f t="shared" si="15"/>
        <v>216</v>
      </c>
      <c r="G252" s="136">
        <f t="shared" si="16"/>
        <v>216</v>
      </c>
      <c r="H252" s="110">
        <v>216</v>
      </c>
      <c r="I252" s="138">
        <f>(24000*9)/1000</f>
        <v>216</v>
      </c>
      <c r="J252" s="110"/>
      <c r="K252" s="138"/>
      <c r="L252" s="110"/>
      <c r="M252" s="138"/>
      <c r="N252" s="147"/>
    </row>
    <row r="253" spans="1:14" s="79" customFormat="1" outlineLevel="1" x14ac:dyDescent="0.25">
      <c r="A253" s="41" t="s">
        <v>218</v>
      </c>
      <c r="B253" s="117" t="s">
        <v>65</v>
      </c>
      <c r="C253" s="55" t="s">
        <v>21</v>
      </c>
      <c r="D253" s="156">
        <v>22</v>
      </c>
      <c r="E253" s="132">
        <v>22</v>
      </c>
      <c r="F253" s="108">
        <f t="shared" si="15"/>
        <v>2420</v>
      </c>
      <c r="G253" s="136">
        <f t="shared" si="16"/>
        <v>2420</v>
      </c>
      <c r="H253" s="110">
        <v>2420</v>
      </c>
      <c r="I253" s="138">
        <f>(110000*22)/1000</f>
        <v>2420</v>
      </c>
      <c r="J253" s="110"/>
      <c r="K253" s="138"/>
      <c r="L253" s="110"/>
      <c r="M253" s="138"/>
      <c r="N253" s="147"/>
    </row>
    <row r="254" spans="1:14" s="79" customFormat="1" outlineLevel="1" x14ac:dyDescent="0.25">
      <c r="A254" s="41" t="s">
        <v>219</v>
      </c>
      <c r="B254" s="117" t="s">
        <v>66</v>
      </c>
      <c r="C254" s="55" t="s">
        <v>21</v>
      </c>
      <c r="D254" s="156">
        <v>15</v>
      </c>
      <c r="E254" s="132">
        <v>15</v>
      </c>
      <c r="F254" s="108">
        <f t="shared" si="15"/>
        <v>1665</v>
      </c>
      <c r="G254" s="136">
        <f t="shared" si="16"/>
        <v>1665</v>
      </c>
      <c r="H254" s="110">
        <v>1665</v>
      </c>
      <c r="I254" s="138">
        <f>(111000*15)/1000</f>
        <v>1665</v>
      </c>
      <c r="J254" s="110"/>
      <c r="K254" s="138"/>
      <c r="L254" s="110"/>
      <c r="M254" s="138"/>
      <c r="N254" s="147"/>
    </row>
    <row r="255" spans="1:14" s="79" customFormat="1" outlineLevel="1" x14ac:dyDescent="0.25">
      <c r="A255" s="41" t="s">
        <v>220</v>
      </c>
      <c r="B255" s="117" t="s">
        <v>67</v>
      </c>
      <c r="C255" s="55" t="s">
        <v>21</v>
      </c>
      <c r="D255" s="156">
        <v>40</v>
      </c>
      <c r="E255" s="132">
        <v>40</v>
      </c>
      <c r="F255" s="108">
        <f t="shared" si="15"/>
        <v>4400</v>
      </c>
      <c r="G255" s="136">
        <f t="shared" si="16"/>
        <v>4400</v>
      </c>
      <c r="H255" s="110">
        <v>4400</v>
      </c>
      <c r="I255" s="138">
        <f>(110000*40)/1000</f>
        <v>4400</v>
      </c>
      <c r="J255" s="110"/>
      <c r="K255" s="138"/>
      <c r="L255" s="110"/>
      <c r="M255" s="138"/>
      <c r="N255" s="147"/>
    </row>
    <row r="256" spans="1:14" s="79" customFormat="1" outlineLevel="1" x14ac:dyDescent="0.25">
      <c r="A256" s="41" t="s">
        <v>221</v>
      </c>
      <c r="B256" s="117" t="s">
        <v>102</v>
      </c>
      <c r="C256" s="55" t="s">
        <v>21</v>
      </c>
      <c r="D256" s="156">
        <v>10</v>
      </c>
      <c r="E256" s="132">
        <v>10</v>
      </c>
      <c r="F256" s="108">
        <f t="shared" si="15"/>
        <v>1627</v>
      </c>
      <c r="G256" s="136">
        <f t="shared" si="16"/>
        <v>1627</v>
      </c>
      <c r="H256" s="110">
        <v>1627</v>
      </c>
      <c r="I256" s="138">
        <v>1627</v>
      </c>
      <c r="J256" s="110"/>
      <c r="K256" s="138"/>
      <c r="L256" s="110"/>
      <c r="M256" s="138"/>
      <c r="N256" s="147"/>
    </row>
    <row r="257" spans="1:14" s="80" customFormat="1" outlineLevel="1" x14ac:dyDescent="0.25">
      <c r="A257" s="41" t="s">
        <v>222</v>
      </c>
      <c r="B257" s="117" t="s">
        <v>103</v>
      </c>
      <c r="C257" s="55" t="s">
        <v>21</v>
      </c>
      <c r="D257" s="156">
        <v>2</v>
      </c>
      <c r="E257" s="132">
        <v>2</v>
      </c>
      <c r="F257" s="108">
        <f t="shared" si="15"/>
        <v>316.26</v>
      </c>
      <c r="G257" s="136">
        <f t="shared" si="16"/>
        <v>205.2</v>
      </c>
      <c r="H257" s="110">
        <v>316.26</v>
      </c>
      <c r="I257" s="138">
        <f>(102600*2)/1000</f>
        <v>205.2</v>
      </c>
      <c r="J257" s="16"/>
      <c r="K257" s="139"/>
      <c r="L257" s="16"/>
      <c r="M257" s="139"/>
      <c r="N257" s="148"/>
    </row>
    <row r="258" spans="1:14" s="79" customFormat="1" ht="31.5" outlineLevel="1" x14ac:dyDescent="0.25">
      <c r="A258" s="41" t="s">
        <v>223</v>
      </c>
      <c r="B258" s="117" t="s">
        <v>104</v>
      </c>
      <c r="C258" s="55" t="s">
        <v>21</v>
      </c>
      <c r="D258" s="156">
        <v>1</v>
      </c>
      <c r="E258" s="132">
        <v>1</v>
      </c>
      <c r="F258" s="108">
        <f t="shared" si="15"/>
        <v>150</v>
      </c>
      <c r="G258" s="136">
        <f t="shared" si="16"/>
        <v>150</v>
      </c>
      <c r="H258" s="110">
        <v>150</v>
      </c>
      <c r="I258" s="138">
        <v>150</v>
      </c>
      <c r="J258" s="110"/>
      <c r="K258" s="138"/>
      <c r="L258" s="110"/>
      <c r="M258" s="138"/>
      <c r="N258" s="147"/>
    </row>
    <row r="259" spans="1:14" s="79" customFormat="1" ht="47.25" outlineLevel="1" x14ac:dyDescent="0.25">
      <c r="A259" s="41" t="s">
        <v>224</v>
      </c>
      <c r="B259" s="117" t="s">
        <v>105</v>
      </c>
      <c r="C259" s="55" t="s">
        <v>21</v>
      </c>
      <c r="D259" s="156">
        <v>6</v>
      </c>
      <c r="E259" s="132">
        <v>6</v>
      </c>
      <c r="F259" s="108">
        <f t="shared" si="15"/>
        <v>2613</v>
      </c>
      <c r="G259" s="136">
        <f t="shared" si="16"/>
        <v>2613</v>
      </c>
      <c r="H259" s="110">
        <v>2613</v>
      </c>
      <c r="I259" s="138">
        <v>2613</v>
      </c>
      <c r="J259" s="110"/>
      <c r="K259" s="138"/>
      <c r="L259" s="110"/>
      <c r="M259" s="138"/>
      <c r="N259" s="147"/>
    </row>
    <row r="260" spans="1:14" s="79" customFormat="1" ht="31.5" outlineLevel="1" x14ac:dyDescent="0.25">
      <c r="A260" s="41" t="s">
        <v>225</v>
      </c>
      <c r="B260" s="117" t="s">
        <v>106</v>
      </c>
      <c r="C260" s="55" t="s">
        <v>20</v>
      </c>
      <c r="D260" s="156">
        <v>8</v>
      </c>
      <c r="E260" s="132">
        <v>8</v>
      </c>
      <c r="F260" s="108">
        <f t="shared" si="15"/>
        <v>2952</v>
      </c>
      <c r="G260" s="136">
        <f t="shared" si="16"/>
        <v>2952</v>
      </c>
      <c r="H260" s="110">
        <v>2952</v>
      </c>
      <c r="I260" s="138">
        <f>(369000*8)/1000</f>
        <v>2952</v>
      </c>
      <c r="J260" s="110"/>
      <c r="K260" s="138"/>
      <c r="L260" s="110"/>
      <c r="M260" s="138"/>
      <c r="N260" s="147"/>
    </row>
    <row r="261" spans="1:14" s="79" customFormat="1" ht="31.5" outlineLevel="1" x14ac:dyDescent="0.25">
      <c r="A261" s="41" t="s">
        <v>226</v>
      </c>
      <c r="B261" s="117" t="s">
        <v>107</v>
      </c>
      <c r="C261" s="55" t="s">
        <v>20</v>
      </c>
      <c r="D261" s="156">
        <v>4</v>
      </c>
      <c r="E261" s="132">
        <v>4</v>
      </c>
      <c r="F261" s="108">
        <f t="shared" si="15"/>
        <v>2160</v>
      </c>
      <c r="G261" s="136">
        <f t="shared" si="16"/>
        <v>2160</v>
      </c>
      <c r="H261" s="110">
        <v>2160</v>
      </c>
      <c r="I261" s="138">
        <v>2160</v>
      </c>
      <c r="J261" s="110"/>
      <c r="K261" s="138"/>
      <c r="L261" s="110"/>
      <c r="M261" s="138"/>
      <c r="N261" s="147"/>
    </row>
    <row r="262" spans="1:14" s="79" customFormat="1" ht="31.5" outlineLevel="1" x14ac:dyDescent="0.25">
      <c r="A262" s="41" t="s">
        <v>227</v>
      </c>
      <c r="B262" s="117" t="s">
        <v>108</v>
      </c>
      <c r="C262" s="55" t="s">
        <v>21</v>
      </c>
      <c r="D262" s="156">
        <v>1</v>
      </c>
      <c r="E262" s="132">
        <v>1</v>
      </c>
      <c r="F262" s="108">
        <f t="shared" si="15"/>
        <v>684.24214000000006</v>
      </c>
      <c r="G262" s="136">
        <f t="shared" si="16"/>
        <v>654.24199999999996</v>
      </c>
      <c r="H262" s="110">
        <v>684.24214000000006</v>
      </c>
      <c r="I262" s="138">
        <v>654.24199999999996</v>
      </c>
      <c r="J262" s="110"/>
      <c r="K262" s="138"/>
      <c r="L262" s="110"/>
      <c r="M262" s="138"/>
      <c r="N262" s="147"/>
    </row>
    <row r="263" spans="1:14" s="79" customFormat="1" outlineLevel="1" x14ac:dyDescent="0.25">
      <c r="A263" s="41" t="s">
        <v>228</v>
      </c>
      <c r="B263" s="117" t="s">
        <v>109</v>
      </c>
      <c r="C263" s="55" t="s">
        <v>20</v>
      </c>
      <c r="D263" s="156">
        <v>1</v>
      </c>
      <c r="E263" s="132">
        <v>0</v>
      </c>
      <c r="F263" s="108">
        <f t="shared" si="15"/>
        <v>8137.3224299999993</v>
      </c>
      <c r="G263" s="136">
        <f t="shared" si="16"/>
        <v>0</v>
      </c>
      <c r="H263" s="110">
        <v>8137.3224299999993</v>
      </c>
      <c r="I263" s="138">
        <v>0</v>
      </c>
      <c r="J263" s="110"/>
      <c r="K263" s="138"/>
      <c r="L263" s="110"/>
      <c r="M263" s="138"/>
      <c r="N263" s="147"/>
    </row>
    <row r="264" spans="1:14" s="79" customFormat="1" ht="31.5" outlineLevel="1" x14ac:dyDescent="0.25">
      <c r="A264" s="41" t="s">
        <v>229</v>
      </c>
      <c r="B264" s="117" t="s">
        <v>110</v>
      </c>
      <c r="C264" s="55" t="s">
        <v>21</v>
      </c>
      <c r="D264" s="156">
        <v>5</v>
      </c>
      <c r="E264" s="132">
        <v>5</v>
      </c>
      <c r="F264" s="108">
        <f t="shared" si="15"/>
        <v>1534.6686</v>
      </c>
      <c r="G264" s="136">
        <f t="shared" si="16"/>
        <v>1100</v>
      </c>
      <c r="H264" s="110">
        <v>1534.6686</v>
      </c>
      <c r="I264" s="138">
        <v>1100</v>
      </c>
      <c r="J264" s="110"/>
      <c r="K264" s="138"/>
      <c r="L264" s="110"/>
      <c r="M264" s="138"/>
      <c r="N264" s="147"/>
    </row>
    <row r="265" spans="1:14" s="79" customFormat="1" ht="46.5" customHeight="1" outlineLevel="1" x14ac:dyDescent="0.25">
      <c r="A265" s="41" t="s">
        <v>230</v>
      </c>
      <c r="B265" s="117" t="s">
        <v>111</v>
      </c>
      <c r="C265" s="55" t="s">
        <v>21</v>
      </c>
      <c r="D265" s="156">
        <v>1</v>
      </c>
      <c r="E265" s="132">
        <v>1</v>
      </c>
      <c r="F265" s="108">
        <f t="shared" si="15"/>
        <v>450</v>
      </c>
      <c r="G265" s="136">
        <f t="shared" si="16"/>
        <v>450</v>
      </c>
      <c r="H265" s="110">
        <v>450</v>
      </c>
      <c r="I265" s="138">
        <v>450</v>
      </c>
      <c r="J265" s="110"/>
      <c r="K265" s="138"/>
      <c r="L265" s="110"/>
      <c r="M265" s="138"/>
      <c r="N265" s="147"/>
    </row>
    <row r="266" spans="1:14" s="79" customFormat="1" ht="63" outlineLevel="1" x14ac:dyDescent="0.25">
      <c r="A266" s="41" t="s">
        <v>231</v>
      </c>
      <c r="B266" s="117" t="s">
        <v>112</v>
      </c>
      <c r="C266" s="55" t="s">
        <v>21</v>
      </c>
      <c r="D266" s="156">
        <v>8</v>
      </c>
      <c r="E266" s="132">
        <v>8</v>
      </c>
      <c r="F266" s="108">
        <f t="shared" si="15"/>
        <v>438.18703999999997</v>
      </c>
      <c r="G266" s="136">
        <f t="shared" si="16"/>
        <v>319.10399999999998</v>
      </c>
      <c r="H266" s="110">
        <v>438.18703999999997</v>
      </c>
      <c r="I266" s="138">
        <f>(39888*8)/1000</f>
        <v>319.10399999999998</v>
      </c>
      <c r="J266" s="110"/>
      <c r="K266" s="138"/>
      <c r="L266" s="110"/>
      <c r="M266" s="138"/>
      <c r="N266" s="147"/>
    </row>
    <row r="267" spans="1:14" s="79" customFormat="1" ht="31.5" outlineLevel="1" x14ac:dyDescent="0.25">
      <c r="A267" s="41" t="s">
        <v>232</v>
      </c>
      <c r="B267" s="117" t="s">
        <v>113</v>
      </c>
      <c r="C267" s="55" t="s">
        <v>21</v>
      </c>
      <c r="D267" s="156">
        <v>1</v>
      </c>
      <c r="E267" s="132">
        <v>1</v>
      </c>
      <c r="F267" s="108">
        <f t="shared" si="15"/>
        <v>9840.4761899999994</v>
      </c>
      <c r="G267" s="136">
        <f t="shared" si="16"/>
        <v>9840.4761899999994</v>
      </c>
      <c r="H267" s="110">
        <v>9840.4761899999994</v>
      </c>
      <c r="I267" s="138">
        <v>9840.4761899999994</v>
      </c>
      <c r="J267" s="110"/>
      <c r="K267" s="138"/>
      <c r="L267" s="110"/>
      <c r="M267" s="138"/>
      <c r="N267" s="147"/>
    </row>
    <row r="268" spans="1:14" s="79" customFormat="1" ht="31.5" outlineLevel="1" x14ac:dyDescent="0.25">
      <c r="A268" s="41" t="s">
        <v>233</v>
      </c>
      <c r="B268" s="117" t="s">
        <v>114</v>
      </c>
      <c r="C268" s="55" t="s">
        <v>21</v>
      </c>
      <c r="D268" s="156">
        <v>1</v>
      </c>
      <c r="E268" s="132">
        <v>1</v>
      </c>
      <c r="F268" s="108">
        <f t="shared" si="15"/>
        <v>9971.42857</v>
      </c>
      <c r="G268" s="136">
        <f t="shared" si="16"/>
        <v>9971.42857</v>
      </c>
      <c r="H268" s="110">
        <v>9971.42857</v>
      </c>
      <c r="I268" s="138">
        <v>9971.42857</v>
      </c>
      <c r="J268" s="110"/>
      <c r="K268" s="138"/>
      <c r="L268" s="110"/>
      <c r="M268" s="138"/>
      <c r="N268" s="147"/>
    </row>
    <row r="269" spans="1:14" outlineLevel="1" x14ac:dyDescent="0.25">
      <c r="A269" s="41" t="s">
        <v>234</v>
      </c>
      <c r="B269" s="117" t="s">
        <v>115</v>
      </c>
      <c r="C269" s="55" t="s">
        <v>21</v>
      </c>
      <c r="D269" s="156">
        <v>2</v>
      </c>
      <c r="E269" s="132">
        <v>2</v>
      </c>
      <c r="F269" s="108">
        <f t="shared" si="15"/>
        <v>343.7</v>
      </c>
      <c r="G269" s="136">
        <f t="shared" si="16"/>
        <v>343.7</v>
      </c>
      <c r="H269" s="110">
        <v>343.7</v>
      </c>
      <c r="I269" s="140">
        <f>(171850*2)/1000</f>
        <v>343.7</v>
      </c>
      <c r="J269" s="110"/>
      <c r="K269" s="138"/>
      <c r="L269" s="126"/>
      <c r="M269" s="138"/>
      <c r="N269" s="147"/>
    </row>
    <row r="270" spans="1:14" ht="31.5" outlineLevel="1" x14ac:dyDescent="0.25">
      <c r="A270" s="41" t="s">
        <v>235</v>
      </c>
      <c r="B270" s="117" t="s">
        <v>654</v>
      </c>
      <c r="C270" s="55" t="s">
        <v>21</v>
      </c>
      <c r="D270" s="156">
        <v>2</v>
      </c>
      <c r="E270" s="132">
        <v>2</v>
      </c>
      <c r="F270" s="108">
        <f t="shared" si="15"/>
        <v>357.15800000000002</v>
      </c>
      <c r="G270" s="136">
        <f t="shared" si="16"/>
        <v>357.15800000000002</v>
      </c>
      <c r="H270" s="110">
        <v>357.15800000000002</v>
      </c>
      <c r="I270" s="138">
        <f>(178579*2)/1000</f>
        <v>357.15800000000002</v>
      </c>
      <c r="J270" s="110"/>
      <c r="K270" s="138"/>
      <c r="L270" s="110"/>
      <c r="M270" s="138"/>
      <c r="N270" s="147"/>
    </row>
    <row r="271" spans="1:14" outlineLevel="1" x14ac:dyDescent="0.25">
      <c r="A271" s="41" t="s">
        <v>236</v>
      </c>
      <c r="B271" s="117" t="s">
        <v>676</v>
      </c>
      <c r="C271" s="55" t="s">
        <v>21</v>
      </c>
      <c r="D271" s="156">
        <v>2</v>
      </c>
      <c r="E271" s="132">
        <v>2</v>
      </c>
      <c r="F271" s="108">
        <f t="shared" si="15"/>
        <v>357.15800000000002</v>
      </c>
      <c r="G271" s="136">
        <f t="shared" si="16"/>
        <v>357.15800000000002</v>
      </c>
      <c r="H271" s="110">
        <v>357.15800000000002</v>
      </c>
      <c r="I271" s="138">
        <f>(178579*2)/1000</f>
        <v>357.15800000000002</v>
      </c>
      <c r="J271" s="110"/>
      <c r="K271" s="138"/>
      <c r="L271" s="110"/>
      <c r="M271" s="138"/>
      <c r="N271" s="147"/>
    </row>
    <row r="272" spans="1:14" s="79" customFormat="1" outlineLevel="1" x14ac:dyDescent="0.25">
      <c r="A272" s="41" t="s">
        <v>237</v>
      </c>
      <c r="B272" s="117" t="s">
        <v>103</v>
      </c>
      <c r="C272" s="55" t="s">
        <v>21</v>
      </c>
      <c r="D272" s="156">
        <v>6</v>
      </c>
      <c r="E272" s="132">
        <v>6</v>
      </c>
      <c r="F272" s="108">
        <f t="shared" si="15"/>
        <v>1030.8000000000002</v>
      </c>
      <c r="G272" s="136">
        <f t="shared" si="16"/>
        <v>1030.8</v>
      </c>
      <c r="H272" s="110">
        <v>1030.8000000000002</v>
      </c>
      <c r="I272" s="138">
        <v>1030.8</v>
      </c>
      <c r="J272" s="110"/>
      <c r="K272" s="138"/>
      <c r="L272" s="110"/>
      <c r="M272" s="138"/>
      <c r="N272" s="147"/>
    </row>
    <row r="273" spans="1:14" outlineLevel="1" x14ac:dyDescent="0.25">
      <c r="A273" s="41" t="s">
        <v>238</v>
      </c>
      <c r="B273" s="117" t="s">
        <v>646</v>
      </c>
      <c r="C273" s="55" t="s">
        <v>21</v>
      </c>
      <c r="D273" s="156">
        <v>0</v>
      </c>
      <c r="E273" s="132">
        <v>3</v>
      </c>
      <c r="F273" s="108">
        <f t="shared" si="15"/>
        <v>0</v>
      </c>
      <c r="G273" s="136">
        <f t="shared" si="16"/>
        <v>809.56338000000005</v>
      </c>
      <c r="H273" s="110">
        <v>0</v>
      </c>
      <c r="I273" s="138">
        <v>809.56338000000005</v>
      </c>
      <c r="J273" s="110"/>
      <c r="K273" s="138"/>
      <c r="L273" s="110"/>
      <c r="M273" s="138"/>
      <c r="N273" s="147"/>
    </row>
    <row r="274" spans="1:14" ht="31.5" outlineLevel="1" x14ac:dyDescent="0.25">
      <c r="A274" s="41" t="s">
        <v>239</v>
      </c>
      <c r="B274" s="117" t="s">
        <v>649</v>
      </c>
      <c r="C274" s="55" t="s">
        <v>21</v>
      </c>
      <c r="D274" s="156">
        <v>0</v>
      </c>
      <c r="E274" s="132">
        <v>34</v>
      </c>
      <c r="F274" s="108">
        <f t="shared" si="15"/>
        <v>0</v>
      </c>
      <c r="G274" s="136">
        <f t="shared" si="16"/>
        <v>8907.8969799999995</v>
      </c>
      <c r="H274" s="110">
        <v>0</v>
      </c>
      <c r="I274" s="138">
        <v>8907.8969799999995</v>
      </c>
      <c r="J274" s="110"/>
      <c r="K274" s="138"/>
      <c r="L274" s="110"/>
      <c r="M274" s="138"/>
      <c r="N274" s="147"/>
    </row>
    <row r="275" spans="1:14" ht="31.5" outlineLevel="1" x14ac:dyDescent="0.25">
      <c r="A275" s="41" t="s">
        <v>240</v>
      </c>
      <c r="B275" s="117" t="s">
        <v>648</v>
      </c>
      <c r="C275" s="55" t="s">
        <v>21</v>
      </c>
      <c r="D275" s="156">
        <v>0</v>
      </c>
      <c r="E275" s="132">
        <v>1</v>
      </c>
      <c r="F275" s="108">
        <f t="shared" ref="F275:G283" si="17">H275+J275+L275</f>
        <v>0</v>
      </c>
      <c r="G275" s="136">
        <f t="shared" si="16"/>
        <v>569.93332999999996</v>
      </c>
      <c r="H275" s="110">
        <v>0</v>
      </c>
      <c r="I275" s="138">
        <v>569.93332999999996</v>
      </c>
      <c r="J275" s="110"/>
      <c r="K275" s="138"/>
      <c r="L275" s="110"/>
      <c r="M275" s="138"/>
      <c r="N275" s="147"/>
    </row>
    <row r="276" spans="1:14" outlineLevel="1" x14ac:dyDescent="0.25">
      <c r="A276" s="41" t="s">
        <v>241</v>
      </c>
      <c r="B276" s="117" t="s">
        <v>675</v>
      </c>
      <c r="C276" s="55" t="s">
        <v>21</v>
      </c>
      <c r="D276" s="156">
        <v>0</v>
      </c>
      <c r="E276" s="132">
        <v>3</v>
      </c>
      <c r="F276" s="108">
        <f t="shared" si="17"/>
        <v>0</v>
      </c>
      <c r="G276" s="136">
        <f t="shared" si="17"/>
        <v>515.54999999999995</v>
      </c>
      <c r="H276" s="110">
        <v>0</v>
      </c>
      <c r="I276" s="138">
        <v>515.54999999999995</v>
      </c>
      <c r="J276" s="110"/>
      <c r="K276" s="138"/>
      <c r="L276" s="110"/>
      <c r="M276" s="138"/>
      <c r="N276" s="147"/>
    </row>
    <row r="277" spans="1:14" outlineLevel="1" x14ac:dyDescent="0.25">
      <c r="A277" s="41" t="s">
        <v>242</v>
      </c>
      <c r="B277" s="117" t="s">
        <v>675</v>
      </c>
      <c r="C277" s="55" t="s">
        <v>21</v>
      </c>
      <c r="D277" s="156">
        <v>0</v>
      </c>
      <c r="E277" s="132">
        <v>3</v>
      </c>
      <c r="F277" s="108">
        <f t="shared" si="17"/>
        <v>0</v>
      </c>
      <c r="G277" s="136">
        <f t="shared" si="17"/>
        <v>316.33800000000002</v>
      </c>
      <c r="H277" s="110">
        <v>0</v>
      </c>
      <c r="I277" s="138">
        <v>316.33800000000002</v>
      </c>
      <c r="J277" s="110"/>
      <c r="K277" s="138"/>
      <c r="L277" s="110"/>
      <c r="M277" s="138"/>
      <c r="N277" s="147"/>
    </row>
    <row r="278" spans="1:14" outlineLevel="1" x14ac:dyDescent="0.25">
      <c r="A278" s="41" t="s">
        <v>243</v>
      </c>
      <c r="B278" s="117" t="s">
        <v>650</v>
      </c>
      <c r="C278" s="55" t="s">
        <v>21</v>
      </c>
      <c r="D278" s="156">
        <v>0</v>
      </c>
      <c r="E278" s="132">
        <v>4</v>
      </c>
      <c r="F278" s="108">
        <f t="shared" si="17"/>
        <v>0</v>
      </c>
      <c r="G278" s="136">
        <f t="shared" si="17"/>
        <v>687.4</v>
      </c>
      <c r="H278" s="110">
        <v>0</v>
      </c>
      <c r="I278" s="140">
        <f>(171850*4)/1000</f>
        <v>687.4</v>
      </c>
      <c r="J278" s="110"/>
      <c r="K278" s="138"/>
      <c r="L278" s="110"/>
      <c r="M278" s="138"/>
      <c r="N278" s="147"/>
    </row>
    <row r="279" spans="1:14" ht="31.5" outlineLevel="1" x14ac:dyDescent="0.25">
      <c r="A279" s="41" t="s">
        <v>244</v>
      </c>
      <c r="B279" s="117" t="s">
        <v>651</v>
      </c>
      <c r="C279" s="55" t="s">
        <v>21</v>
      </c>
      <c r="D279" s="156">
        <v>0</v>
      </c>
      <c r="E279" s="132">
        <v>2</v>
      </c>
      <c r="F279" s="108">
        <f t="shared" si="17"/>
        <v>0</v>
      </c>
      <c r="G279" s="136">
        <f t="shared" si="17"/>
        <v>254.88522</v>
      </c>
      <c r="H279" s="110">
        <v>0</v>
      </c>
      <c r="I279" s="138">
        <f>(127442.61*2)/1000</f>
        <v>254.88522</v>
      </c>
      <c r="J279" s="110"/>
      <c r="K279" s="138"/>
      <c r="L279" s="110"/>
      <c r="M279" s="138"/>
      <c r="N279" s="147"/>
    </row>
    <row r="280" spans="1:14" outlineLevel="1" x14ac:dyDescent="0.25">
      <c r="A280" s="41" t="s">
        <v>245</v>
      </c>
      <c r="B280" s="117" t="s">
        <v>674</v>
      </c>
      <c r="C280" s="55" t="s">
        <v>21</v>
      </c>
      <c r="D280" s="156">
        <v>0</v>
      </c>
      <c r="E280" s="132">
        <v>1</v>
      </c>
      <c r="F280" s="108">
        <f t="shared" si="17"/>
        <v>0</v>
      </c>
      <c r="G280" s="136">
        <f t="shared" si="17"/>
        <v>623.5</v>
      </c>
      <c r="H280" s="110">
        <v>0</v>
      </c>
      <c r="I280" s="138">
        <v>623.5</v>
      </c>
      <c r="J280" s="110"/>
      <c r="K280" s="138"/>
      <c r="L280" s="110"/>
      <c r="M280" s="138"/>
      <c r="N280" s="147"/>
    </row>
    <row r="281" spans="1:14" outlineLevel="1" x14ac:dyDescent="0.25">
      <c r="A281" s="41" t="s">
        <v>246</v>
      </c>
      <c r="B281" s="117" t="s">
        <v>674</v>
      </c>
      <c r="C281" s="55" t="s">
        <v>21</v>
      </c>
      <c r="D281" s="156">
        <v>0</v>
      </c>
      <c r="E281" s="132">
        <v>1</v>
      </c>
      <c r="F281" s="108">
        <f t="shared" si="17"/>
        <v>0</v>
      </c>
      <c r="G281" s="136">
        <f t="shared" si="17"/>
        <v>619</v>
      </c>
      <c r="H281" s="110">
        <v>0</v>
      </c>
      <c r="I281" s="138">
        <v>619</v>
      </c>
      <c r="J281" s="110"/>
      <c r="K281" s="138"/>
      <c r="L281" s="110"/>
      <c r="M281" s="138"/>
      <c r="N281" s="147"/>
    </row>
    <row r="282" spans="1:14" outlineLevel="1" x14ac:dyDescent="0.25">
      <c r="A282" s="41" t="s">
        <v>247</v>
      </c>
      <c r="B282" s="117" t="s">
        <v>62</v>
      </c>
      <c r="C282" s="55" t="s">
        <v>21</v>
      </c>
      <c r="D282" s="156">
        <v>0</v>
      </c>
      <c r="E282" s="132">
        <v>2</v>
      </c>
      <c r="F282" s="108">
        <f t="shared" si="17"/>
        <v>0</v>
      </c>
      <c r="G282" s="136">
        <f t="shared" ref="G282" si="18">I282+K282+M282</f>
        <v>850</v>
      </c>
      <c r="H282" s="110">
        <v>0</v>
      </c>
      <c r="I282" s="138">
        <f>(425000*2)/1000</f>
        <v>850</v>
      </c>
      <c r="J282" s="110"/>
      <c r="K282" s="138"/>
      <c r="L282" s="110"/>
      <c r="M282" s="138"/>
      <c r="N282" s="147"/>
    </row>
    <row r="283" spans="1:14" ht="31.5" outlineLevel="1" x14ac:dyDescent="0.25">
      <c r="A283" s="41" t="s">
        <v>248</v>
      </c>
      <c r="B283" s="117" t="s">
        <v>116</v>
      </c>
      <c r="C283" s="55" t="s">
        <v>19</v>
      </c>
      <c r="D283" s="156">
        <v>1</v>
      </c>
      <c r="E283" s="69">
        <v>1</v>
      </c>
      <c r="F283" s="108">
        <f t="shared" si="17"/>
        <v>6254.33</v>
      </c>
      <c r="G283" s="136">
        <f t="shared" ref="G283:G320" si="19">I283+K283+M283</f>
        <v>6254.33</v>
      </c>
      <c r="H283" s="110">
        <v>6254.33</v>
      </c>
      <c r="I283" s="138">
        <v>6254.33</v>
      </c>
      <c r="J283" s="110"/>
      <c r="K283" s="138"/>
      <c r="L283" s="110"/>
      <c r="M283" s="138"/>
      <c r="N283" s="147"/>
    </row>
    <row r="284" spans="1:14" ht="31.5" outlineLevel="1" x14ac:dyDescent="0.25">
      <c r="A284" s="41" t="s">
        <v>249</v>
      </c>
      <c r="B284" s="117" t="s">
        <v>117</v>
      </c>
      <c r="C284" s="55" t="s">
        <v>19</v>
      </c>
      <c r="D284" s="156">
        <v>1</v>
      </c>
      <c r="E284" s="69">
        <v>1</v>
      </c>
      <c r="F284" s="108">
        <f t="shared" ref="F284:F320" si="20">H284+J284+L284</f>
        <v>1772.24</v>
      </c>
      <c r="G284" s="136">
        <f t="shared" si="19"/>
        <v>1772.24</v>
      </c>
      <c r="H284" s="110">
        <v>1772.24</v>
      </c>
      <c r="I284" s="138">
        <v>1772.24</v>
      </c>
      <c r="J284" s="110"/>
      <c r="K284" s="138"/>
      <c r="L284" s="110"/>
      <c r="M284" s="138"/>
      <c r="N284" s="147"/>
    </row>
    <row r="285" spans="1:14" ht="31.5" outlineLevel="1" x14ac:dyDescent="0.25">
      <c r="A285" s="41" t="s">
        <v>250</v>
      </c>
      <c r="B285" s="117" t="s">
        <v>118</v>
      </c>
      <c r="C285" s="55" t="s">
        <v>19</v>
      </c>
      <c r="D285" s="156">
        <v>1</v>
      </c>
      <c r="E285" s="69">
        <v>0.5</v>
      </c>
      <c r="F285" s="108">
        <f t="shared" si="20"/>
        <v>8596.7199999999993</v>
      </c>
      <c r="G285" s="136">
        <f t="shared" si="19"/>
        <v>4348.67</v>
      </c>
      <c r="H285" s="110">
        <v>8596.7199999999993</v>
      </c>
      <c r="I285" s="138">
        <v>4348.67</v>
      </c>
      <c r="J285" s="110"/>
      <c r="K285" s="138"/>
      <c r="L285" s="110"/>
      <c r="M285" s="138"/>
      <c r="N285" s="147"/>
    </row>
    <row r="286" spans="1:14" outlineLevel="1" x14ac:dyDescent="0.25">
      <c r="A286" s="41" t="s">
        <v>251</v>
      </c>
      <c r="B286" s="117" t="s">
        <v>119</v>
      </c>
      <c r="C286" s="55" t="s">
        <v>19</v>
      </c>
      <c r="D286" s="156">
        <v>1</v>
      </c>
      <c r="E286" s="69">
        <v>1</v>
      </c>
      <c r="F286" s="108">
        <f t="shared" si="20"/>
        <v>14570.84</v>
      </c>
      <c r="G286" s="136">
        <f t="shared" si="19"/>
        <v>14570.84</v>
      </c>
      <c r="H286" s="110">
        <v>14570.84</v>
      </c>
      <c r="I286" s="138">
        <v>14570.84</v>
      </c>
      <c r="J286" s="110"/>
      <c r="K286" s="138"/>
      <c r="L286" s="110"/>
      <c r="M286" s="138"/>
      <c r="N286" s="147"/>
    </row>
    <row r="287" spans="1:14" ht="31.5" outlineLevel="1" x14ac:dyDescent="0.25">
      <c r="A287" s="41" t="s">
        <v>252</v>
      </c>
      <c r="B287" s="117" t="s">
        <v>120</v>
      </c>
      <c r="C287" s="55" t="s">
        <v>19</v>
      </c>
      <c r="D287" s="156">
        <v>1</v>
      </c>
      <c r="E287" s="69">
        <v>1</v>
      </c>
      <c r="F287" s="108">
        <f t="shared" si="20"/>
        <v>11281.17</v>
      </c>
      <c r="G287" s="136">
        <f t="shared" si="19"/>
        <v>11281.17</v>
      </c>
      <c r="H287" s="110">
        <v>11281.17</v>
      </c>
      <c r="I287" s="138">
        <v>11281.17</v>
      </c>
      <c r="J287" s="110"/>
      <c r="K287" s="138"/>
      <c r="L287" s="110"/>
      <c r="M287" s="138"/>
      <c r="N287" s="147"/>
    </row>
    <row r="288" spans="1:14" ht="31.5" outlineLevel="1" x14ac:dyDescent="0.25">
      <c r="A288" s="41" t="s">
        <v>253</v>
      </c>
      <c r="B288" s="117" t="s">
        <v>121</v>
      </c>
      <c r="C288" s="55" t="s">
        <v>19</v>
      </c>
      <c r="D288" s="156">
        <v>1</v>
      </c>
      <c r="E288" s="69">
        <v>1</v>
      </c>
      <c r="F288" s="108">
        <f t="shared" si="20"/>
        <v>10039.879999999999</v>
      </c>
      <c r="G288" s="136">
        <f t="shared" si="19"/>
        <v>10039.879999999999</v>
      </c>
      <c r="H288" s="110">
        <v>10039.879999999999</v>
      </c>
      <c r="I288" s="138">
        <v>10039.879999999999</v>
      </c>
      <c r="J288" s="110"/>
      <c r="K288" s="138"/>
      <c r="L288" s="110"/>
      <c r="M288" s="138"/>
      <c r="N288" s="147"/>
    </row>
    <row r="289" spans="1:14" outlineLevel="1" x14ac:dyDescent="0.25">
      <c r="A289" s="41" t="s">
        <v>254</v>
      </c>
      <c r="B289" s="117" t="s">
        <v>122</v>
      </c>
      <c r="C289" s="55" t="s">
        <v>19</v>
      </c>
      <c r="D289" s="156">
        <v>1</v>
      </c>
      <c r="E289" s="69">
        <v>1</v>
      </c>
      <c r="F289" s="108">
        <f t="shared" si="20"/>
        <v>5666.01</v>
      </c>
      <c r="G289" s="136">
        <f t="shared" si="19"/>
        <v>5666.01</v>
      </c>
      <c r="H289" s="110">
        <v>5666.01</v>
      </c>
      <c r="I289" s="138">
        <v>5666.01</v>
      </c>
      <c r="J289" s="110"/>
      <c r="K289" s="138"/>
      <c r="L289" s="110"/>
      <c r="M289" s="138"/>
      <c r="N289" s="147"/>
    </row>
    <row r="290" spans="1:14" outlineLevel="1" x14ac:dyDescent="0.25">
      <c r="A290" s="41" t="s">
        <v>255</v>
      </c>
      <c r="B290" s="117" t="s">
        <v>123</v>
      </c>
      <c r="C290" s="55" t="s">
        <v>19</v>
      </c>
      <c r="D290" s="156">
        <v>1</v>
      </c>
      <c r="E290" s="69">
        <v>1</v>
      </c>
      <c r="F290" s="108">
        <f t="shared" si="20"/>
        <v>11208.27</v>
      </c>
      <c r="G290" s="136">
        <f t="shared" si="19"/>
        <v>11208.27</v>
      </c>
      <c r="H290" s="110">
        <v>11208.27</v>
      </c>
      <c r="I290" s="138">
        <v>11208.27</v>
      </c>
      <c r="J290" s="110"/>
      <c r="K290" s="138"/>
      <c r="L290" s="110"/>
      <c r="M290" s="138"/>
      <c r="N290" s="147"/>
    </row>
    <row r="291" spans="1:14" outlineLevel="1" x14ac:dyDescent="0.25">
      <c r="A291" s="41" t="s">
        <v>256</v>
      </c>
      <c r="B291" s="117" t="s">
        <v>124</v>
      </c>
      <c r="C291" s="55" t="s">
        <v>19</v>
      </c>
      <c r="D291" s="156">
        <v>1</v>
      </c>
      <c r="E291" s="69">
        <v>1</v>
      </c>
      <c r="F291" s="108">
        <f t="shared" si="20"/>
        <v>8009.74</v>
      </c>
      <c r="G291" s="136">
        <f t="shared" si="19"/>
        <v>8009.74</v>
      </c>
      <c r="H291" s="110">
        <v>8009.74</v>
      </c>
      <c r="I291" s="138">
        <v>8009.74</v>
      </c>
      <c r="J291" s="110"/>
      <c r="K291" s="138"/>
      <c r="L291" s="110"/>
      <c r="M291" s="138"/>
      <c r="N291" s="147"/>
    </row>
    <row r="292" spans="1:14" outlineLevel="1" x14ac:dyDescent="0.25">
      <c r="A292" s="41" t="s">
        <v>257</v>
      </c>
      <c r="B292" s="117" t="s">
        <v>125</v>
      </c>
      <c r="C292" s="55" t="s">
        <v>19</v>
      </c>
      <c r="D292" s="156">
        <v>1</v>
      </c>
      <c r="E292" s="69">
        <v>1</v>
      </c>
      <c r="F292" s="108">
        <f t="shared" si="20"/>
        <v>18005.5</v>
      </c>
      <c r="G292" s="136">
        <f t="shared" si="19"/>
        <v>18005.5</v>
      </c>
      <c r="H292" s="110">
        <v>18005.5</v>
      </c>
      <c r="I292" s="138">
        <v>18005.5</v>
      </c>
      <c r="J292" s="110"/>
      <c r="K292" s="138"/>
      <c r="L292" s="110"/>
      <c r="M292" s="138"/>
      <c r="N292" s="147"/>
    </row>
    <row r="293" spans="1:14" ht="31.5" outlineLevel="1" x14ac:dyDescent="0.25">
      <c r="A293" s="41" t="s">
        <v>258</v>
      </c>
      <c r="B293" s="117" t="s">
        <v>126</v>
      </c>
      <c r="C293" s="55" t="s">
        <v>19</v>
      </c>
      <c r="D293" s="156">
        <v>1</v>
      </c>
      <c r="E293" s="69">
        <v>1</v>
      </c>
      <c r="F293" s="108">
        <f t="shared" si="20"/>
        <v>7343.5</v>
      </c>
      <c r="G293" s="136">
        <f t="shared" si="19"/>
        <v>7343.5</v>
      </c>
      <c r="H293" s="110">
        <v>7343.5</v>
      </c>
      <c r="I293" s="138">
        <v>7343.5</v>
      </c>
      <c r="J293" s="110"/>
      <c r="K293" s="138"/>
      <c r="L293" s="110"/>
      <c r="M293" s="138"/>
      <c r="N293" s="147"/>
    </row>
    <row r="294" spans="1:14" ht="31.5" outlineLevel="1" x14ac:dyDescent="0.25">
      <c r="A294" s="41" t="s">
        <v>259</v>
      </c>
      <c r="B294" s="117" t="s">
        <v>127</v>
      </c>
      <c r="C294" s="55" t="s">
        <v>19</v>
      </c>
      <c r="D294" s="156">
        <v>1</v>
      </c>
      <c r="E294" s="69">
        <v>1</v>
      </c>
      <c r="F294" s="108">
        <f t="shared" si="20"/>
        <v>4337.6400000000003</v>
      </c>
      <c r="G294" s="136">
        <f t="shared" si="19"/>
        <v>4337.6400000000003</v>
      </c>
      <c r="H294" s="110">
        <v>4337.6400000000003</v>
      </c>
      <c r="I294" s="138">
        <v>4337.6400000000003</v>
      </c>
      <c r="J294" s="110"/>
      <c r="K294" s="138"/>
      <c r="L294" s="110"/>
      <c r="M294" s="138"/>
      <c r="N294" s="147"/>
    </row>
    <row r="295" spans="1:14" ht="31.5" outlineLevel="1" x14ac:dyDescent="0.25">
      <c r="A295" s="41" t="s">
        <v>260</v>
      </c>
      <c r="B295" s="117" t="s">
        <v>128</v>
      </c>
      <c r="C295" s="55" t="s">
        <v>19</v>
      </c>
      <c r="D295" s="156">
        <v>1</v>
      </c>
      <c r="E295" s="69">
        <v>1</v>
      </c>
      <c r="F295" s="108">
        <f t="shared" si="20"/>
        <v>7944.49</v>
      </c>
      <c r="G295" s="136">
        <f t="shared" si="19"/>
        <v>7944.49</v>
      </c>
      <c r="H295" s="110">
        <v>7944.49</v>
      </c>
      <c r="I295" s="138">
        <v>7944.49</v>
      </c>
      <c r="J295" s="110"/>
      <c r="K295" s="138"/>
      <c r="L295" s="110"/>
      <c r="M295" s="138"/>
      <c r="N295" s="147"/>
    </row>
    <row r="296" spans="1:14" ht="31.5" outlineLevel="1" x14ac:dyDescent="0.25">
      <c r="A296" s="41" t="s">
        <v>261</v>
      </c>
      <c r="B296" s="117" t="s">
        <v>129</v>
      </c>
      <c r="C296" s="55" t="s">
        <v>19</v>
      </c>
      <c r="D296" s="156">
        <v>1</v>
      </c>
      <c r="E296" s="69">
        <v>1</v>
      </c>
      <c r="F296" s="108">
        <f t="shared" si="20"/>
        <v>5948.36</v>
      </c>
      <c r="G296" s="136">
        <f t="shared" si="19"/>
        <v>5948.36</v>
      </c>
      <c r="H296" s="110">
        <v>5948.36</v>
      </c>
      <c r="I296" s="138">
        <v>5948.36</v>
      </c>
      <c r="J296" s="110"/>
      <c r="K296" s="138"/>
      <c r="L296" s="110"/>
      <c r="M296" s="138"/>
      <c r="N296" s="147"/>
    </row>
    <row r="297" spans="1:14" ht="31.5" outlineLevel="1" x14ac:dyDescent="0.25">
      <c r="A297" s="41" t="s">
        <v>262</v>
      </c>
      <c r="B297" s="117" t="s">
        <v>130</v>
      </c>
      <c r="C297" s="55" t="s">
        <v>19</v>
      </c>
      <c r="D297" s="156">
        <v>1</v>
      </c>
      <c r="E297" s="69">
        <v>1</v>
      </c>
      <c r="F297" s="108">
        <f t="shared" si="20"/>
        <v>6690.12</v>
      </c>
      <c r="G297" s="136">
        <f t="shared" si="19"/>
        <v>6690.12</v>
      </c>
      <c r="H297" s="110">
        <v>6690.12</v>
      </c>
      <c r="I297" s="138">
        <v>6690.12</v>
      </c>
      <c r="J297" s="110"/>
      <c r="K297" s="138"/>
      <c r="L297" s="110"/>
      <c r="M297" s="138"/>
      <c r="N297" s="147"/>
    </row>
    <row r="298" spans="1:14" outlineLevel="1" x14ac:dyDescent="0.25">
      <c r="A298" s="41" t="s">
        <v>263</v>
      </c>
      <c r="B298" s="117" t="s">
        <v>131</v>
      </c>
      <c r="C298" s="55" t="s">
        <v>19</v>
      </c>
      <c r="D298" s="156">
        <v>1</v>
      </c>
      <c r="E298" s="69">
        <v>1</v>
      </c>
      <c r="F298" s="108">
        <f t="shared" si="20"/>
        <v>13729.14</v>
      </c>
      <c r="G298" s="136">
        <f t="shared" si="19"/>
        <v>13729.14</v>
      </c>
      <c r="H298" s="110">
        <v>13729.14</v>
      </c>
      <c r="I298" s="138">
        <v>13729.14</v>
      </c>
      <c r="J298" s="110"/>
      <c r="K298" s="138"/>
      <c r="L298" s="110"/>
      <c r="M298" s="138"/>
      <c r="N298" s="147"/>
    </row>
    <row r="299" spans="1:14" outlineLevel="1" x14ac:dyDescent="0.25">
      <c r="A299" s="41" t="s">
        <v>264</v>
      </c>
      <c r="B299" s="117" t="s">
        <v>132</v>
      </c>
      <c r="C299" s="55" t="s">
        <v>19</v>
      </c>
      <c r="D299" s="156">
        <v>1</v>
      </c>
      <c r="E299" s="69">
        <v>1</v>
      </c>
      <c r="F299" s="108">
        <f t="shared" si="20"/>
        <v>14896.67</v>
      </c>
      <c r="G299" s="136">
        <f t="shared" si="19"/>
        <v>14896.67</v>
      </c>
      <c r="H299" s="110">
        <v>14896.67</v>
      </c>
      <c r="I299" s="138">
        <v>14896.67</v>
      </c>
      <c r="J299" s="110"/>
      <c r="K299" s="138"/>
      <c r="L299" s="110"/>
      <c r="M299" s="138"/>
      <c r="N299" s="147"/>
    </row>
    <row r="300" spans="1:14" ht="31.5" outlineLevel="1" x14ac:dyDescent="0.25">
      <c r="A300" s="41" t="s">
        <v>265</v>
      </c>
      <c r="B300" s="117" t="s">
        <v>146</v>
      </c>
      <c r="C300" s="55" t="s">
        <v>19</v>
      </c>
      <c r="D300" s="156">
        <v>1</v>
      </c>
      <c r="E300" s="69">
        <v>1</v>
      </c>
      <c r="F300" s="108">
        <f t="shared" si="20"/>
        <v>1392.97</v>
      </c>
      <c r="G300" s="136">
        <f t="shared" si="19"/>
        <v>1392.97</v>
      </c>
      <c r="H300" s="110">
        <v>1392.97</v>
      </c>
      <c r="I300" s="138">
        <v>1392.97</v>
      </c>
      <c r="J300" s="110"/>
      <c r="K300" s="138"/>
      <c r="L300" s="110"/>
      <c r="M300" s="138"/>
      <c r="N300" s="147"/>
    </row>
    <row r="301" spans="1:14" ht="31.5" outlineLevel="1" x14ac:dyDescent="0.25">
      <c r="A301" s="41" t="s">
        <v>266</v>
      </c>
      <c r="B301" s="117" t="s">
        <v>147</v>
      </c>
      <c r="C301" s="55" t="s">
        <v>19</v>
      </c>
      <c r="D301" s="156">
        <v>1</v>
      </c>
      <c r="E301" s="69">
        <v>1</v>
      </c>
      <c r="F301" s="108">
        <f t="shared" si="20"/>
        <v>1223.6360300000001</v>
      </c>
      <c r="G301" s="136">
        <f t="shared" si="19"/>
        <v>1223.6360300000001</v>
      </c>
      <c r="H301" s="110">
        <v>1223.6360300000001</v>
      </c>
      <c r="I301" s="138">
        <v>1223.6360300000001</v>
      </c>
      <c r="J301" s="110"/>
      <c r="K301" s="138"/>
      <c r="L301" s="110"/>
      <c r="M301" s="138"/>
      <c r="N301" s="147"/>
    </row>
    <row r="302" spans="1:14" ht="31.5" outlineLevel="1" x14ac:dyDescent="0.25">
      <c r="A302" s="41" t="s">
        <v>267</v>
      </c>
      <c r="B302" s="117" t="s">
        <v>148</v>
      </c>
      <c r="C302" s="55" t="s">
        <v>19</v>
      </c>
      <c r="D302" s="156">
        <v>1</v>
      </c>
      <c r="E302" s="69">
        <v>1</v>
      </c>
      <c r="F302" s="108">
        <f t="shared" si="20"/>
        <v>1333.711</v>
      </c>
      <c r="G302" s="136">
        <f t="shared" si="19"/>
        <v>1333.711</v>
      </c>
      <c r="H302" s="110">
        <v>1333.711</v>
      </c>
      <c r="I302" s="138">
        <v>1333.711</v>
      </c>
      <c r="J302" s="110"/>
      <c r="K302" s="138"/>
      <c r="L302" s="110"/>
      <c r="M302" s="138"/>
      <c r="N302" s="147"/>
    </row>
    <row r="303" spans="1:14" ht="31.5" outlineLevel="1" x14ac:dyDescent="0.25">
      <c r="A303" s="41" t="s">
        <v>268</v>
      </c>
      <c r="B303" s="117" t="s">
        <v>149</v>
      </c>
      <c r="C303" s="55" t="s">
        <v>19</v>
      </c>
      <c r="D303" s="156">
        <v>1</v>
      </c>
      <c r="E303" s="69">
        <v>1</v>
      </c>
      <c r="F303" s="108">
        <f t="shared" si="20"/>
        <v>983.91793000000007</v>
      </c>
      <c r="G303" s="136">
        <f t="shared" si="19"/>
        <v>983.91793000000007</v>
      </c>
      <c r="H303" s="110">
        <v>983.91793000000007</v>
      </c>
      <c r="I303" s="138">
        <v>983.91793000000007</v>
      </c>
      <c r="J303" s="110"/>
      <c r="K303" s="138"/>
      <c r="L303" s="110"/>
      <c r="M303" s="138"/>
      <c r="N303" s="147"/>
    </row>
    <row r="304" spans="1:14" ht="31.5" outlineLevel="1" x14ac:dyDescent="0.25">
      <c r="A304" s="41" t="s">
        <v>269</v>
      </c>
      <c r="B304" s="117" t="s">
        <v>150</v>
      </c>
      <c r="C304" s="55" t="s">
        <v>19</v>
      </c>
      <c r="D304" s="156">
        <v>1</v>
      </c>
      <c r="E304" s="69">
        <v>1</v>
      </c>
      <c r="F304" s="108">
        <f t="shared" si="20"/>
        <v>1802.4109699999999</v>
      </c>
      <c r="G304" s="136">
        <f t="shared" si="19"/>
        <v>1802.4109699999999</v>
      </c>
      <c r="H304" s="110">
        <v>1802.4109699999999</v>
      </c>
      <c r="I304" s="138">
        <v>1802.4109699999999</v>
      </c>
      <c r="J304" s="110"/>
      <c r="K304" s="138"/>
      <c r="L304" s="110"/>
      <c r="M304" s="138"/>
      <c r="N304" s="147"/>
    </row>
    <row r="305" spans="1:14" ht="31.5" outlineLevel="1" x14ac:dyDescent="0.25">
      <c r="A305" s="41" t="s">
        <v>270</v>
      </c>
      <c r="B305" s="117" t="s">
        <v>151</v>
      </c>
      <c r="C305" s="55" t="s">
        <v>19</v>
      </c>
      <c r="D305" s="156">
        <v>1</v>
      </c>
      <c r="E305" s="69">
        <v>1</v>
      </c>
      <c r="F305" s="108">
        <f t="shared" si="20"/>
        <v>836.02458000000001</v>
      </c>
      <c r="G305" s="136">
        <f t="shared" si="19"/>
        <v>836.02458000000001</v>
      </c>
      <c r="H305" s="110">
        <v>836.02458000000001</v>
      </c>
      <c r="I305" s="138">
        <v>836.02458000000001</v>
      </c>
      <c r="J305" s="110"/>
      <c r="K305" s="138"/>
      <c r="L305" s="110"/>
      <c r="M305" s="138"/>
      <c r="N305" s="147"/>
    </row>
    <row r="306" spans="1:14" ht="31.5" outlineLevel="1" x14ac:dyDescent="0.25">
      <c r="A306" s="41" t="s">
        <v>271</v>
      </c>
      <c r="B306" s="117" t="s">
        <v>133</v>
      </c>
      <c r="C306" s="55" t="s">
        <v>19</v>
      </c>
      <c r="D306" s="156">
        <v>1</v>
      </c>
      <c r="E306" s="69">
        <v>1</v>
      </c>
      <c r="F306" s="108">
        <f t="shared" si="20"/>
        <v>2901.8</v>
      </c>
      <c r="G306" s="136">
        <f t="shared" si="19"/>
        <v>2901.8</v>
      </c>
      <c r="H306" s="110">
        <v>2901.8</v>
      </c>
      <c r="I306" s="138">
        <v>2901.8</v>
      </c>
      <c r="J306" s="110"/>
      <c r="K306" s="138"/>
      <c r="L306" s="110"/>
      <c r="M306" s="138"/>
      <c r="N306" s="147"/>
    </row>
    <row r="307" spans="1:14" ht="31.5" outlineLevel="1" x14ac:dyDescent="0.25">
      <c r="A307" s="41" t="s">
        <v>272</v>
      </c>
      <c r="B307" s="117" t="s">
        <v>134</v>
      </c>
      <c r="C307" s="55" t="s">
        <v>19</v>
      </c>
      <c r="D307" s="156">
        <v>1</v>
      </c>
      <c r="E307" s="69">
        <v>1</v>
      </c>
      <c r="F307" s="108">
        <f t="shared" si="20"/>
        <v>3343.87</v>
      </c>
      <c r="G307" s="136">
        <f t="shared" si="19"/>
        <v>3343.87</v>
      </c>
      <c r="H307" s="110">
        <v>3343.87</v>
      </c>
      <c r="I307" s="138">
        <v>3343.87</v>
      </c>
      <c r="J307" s="110"/>
      <c r="K307" s="138"/>
      <c r="L307" s="110"/>
      <c r="M307" s="138"/>
      <c r="N307" s="147"/>
    </row>
    <row r="308" spans="1:14" ht="31.5" outlineLevel="1" x14ac:dyDescent="0.25">
      <c r="A308" s="41" t="s">
        <v>273</v>
      </c>
      <c r="B308" s="117" t="s">
        <v>135</v>
      </c>
      <c r="C308" s="55" t="s">
        <v>19</v>
      </c>
      <c r="D308" s="156">
        <v>1</v>
      </c>
      <c r="E308" s="69">
        <v>1</v>
      </c>
      <c r="F308" s="108">
        <f t="shared" si="20"/>
        <v>1171.1411799999998</v>
      </c>
      <c r="G308" s="136">
        <f t="shared" si="19"/>
        <v>1171.1411799999998</v>
      </c>
      <c r="H308" s="110">
        <v>1171.1411799999998</v>
      </c>
      <c r="I308" s="138">
        <v>1171.1411799999998</v>
      </c>
      <c r="J308" s="110"/>
      <c r="K308" s="138"/>
      <c r="L308" s="110"/>
      <c r="M308" s="138"/>
      <c r="N308" s="147"/>
    </row>
    <row r="309" spans="1:14" ht="31.5" outlineLevel="1" x14ac:dyDescent="0.25">
      <c r="A309" s="41" t="s">
        <v>274</v>
      </c>
      <c r="B309" s="117" t="s">
        <v>136</v>
      </c>
      <c r="C309" s="55" t="s">
        <v>19</v>
      </c>
      <c r="D309" s="156">
        <v>1</v>
      </c>
      <c r="E309" s="69">
        <v>1</v>
      </c>
      <c r="F309" s="108">
        <f t="shared" si="20"/>
        <v>3233.7916299999997</v>
      </c>
      <c r="G309" s="136">
        <f t="shared" si="19"/>
        <v>3233.7916299999997</v>
      </c>
      <c r="H309" s="110">
        <v>3233.7916299999997</v>
      </c>
      <c r="I309" s="138">
        <v>3233.7916299999997</v>
      </c>
      <c r="J309" s="110"/>
      <c r="K309" s="138"/>
      <c r="L309" s="110"/>
      <c r="M309" s="138"/>
      <c r="N309" s="147"/>
    </row>
    <row r="310" spans="1:14" ht="31.5" outlineLevel="1" x14ac:dyDescent="0.25">
      <c r="A310" s="41" t="s">
        <v>275</v>
      </c>
      <c r="B310" s="117" t="s">
        <v>137</v>
      </c>
      <c r="C310" s="55" t="s">
        <v>19</v>
      </c>
      <c r="D310" s="156">
        <v>1</v>
      </c>
      <c r="E310" s="69">
        <v>1</v>
      </c>
      <c r="F310" s="108">
        <f t="shared" si="20"/>
        <v>2014.91392</v>
      </c>
      <c r="G310" s="136">
        <f t="shared" si="19"/>
        <v>2014.91392</v>
      </c>
      <c r="H310" s="110">
        <v>2014.91392</v>
      </c>
      <c r="I310" s="138">
        <v>2014.91392</v>
      </c>
      <c r="J310" s="110"/>
      <c r="K310" s="138"/>
      <c r="L310" s="110"/>
      <c r="M310" s="138"/>
      <c r="N310" s="147"/>
    </row>
    <row r="311" spans="1:14" ht="31.5" outlineLevel="1" x14ac:dyDescent="0.25">
      <c r="A311" s="41" t="s">
        <v>647</v>
      </c>
      <c r="B311" s="117" t="s">
        <v>138</v>
      </c>
      <c r="C311" s="55" t="s">
        <v>19</v>
      </c>
      <c r="D311" s="156">
        <v>1</v>
      </c>
      <c r="E311" s="69">
        <v>1</v>
      </c>
      <c r="F311" s="108">
        <f t="shared" si="20"/>
        <v>1347.02</v>
      </c>
      <c r="G311" s="136">
        <f t="shared" si="19"/>
        <v>1347.02</v>
      </c>
      <c r="H311" s="110">
        <v>1347.02</v>
      </c>
      <c r="I311" s="138">
        <v>1347.02</v>
      </c>
      <c r="J311" s="110"/>
      <c r="K311" s="138"/>
      <c r="L311" s="110"/>
      <c r="M311" s="138"/>
      <c r="N311" s="147"/>
    </row>
    <row r="312" spans="1:14" outlineLevel="1" x14ac:dyDescent="0.25">
      <c r="A312" s="41" t="s">
        <v>655</v>
      </c>
      <c r="B312" s="117" t="s">
        <v>152</v>
      </c>
      <c r="C312" s="55" t="s">
        <v>19</v>
      </c>
      <c r="D312" s="156">
        <v>1</v>
      </c>
      <c r="E312" s="69">
        <v>1</v>
      </c>
      <c r="F312" s="108">
        <f t="shared" si="20"/>
        <v>2698.8969900000002</v>
      </c>
      <c r="G312" s="136">
        <f t="shared" si="19"/>
        <v>2698.8969900000002</v>
      </c>
      <c r="H312" s="110">
        <v>2698.8969900000002</v>
      </c>
      <c r="I312" s="138">
        <v>2698.8969900000002</v>
      </c>
      <c r="J312" s="110"/>
      <c r="K312" s="138"/>
      <c r="L312" s="110"/>
      <c r="M312" s="138"/>
      <c r="N312" s="147"/>
    </row>
    <row r="313" spans="1:14" outlineLevel="1" x14ac:dyDescent="0.25">
      <c r="A313" s="41" t="s">
        <v>656</v>
      </c>
      <c r="B313" s="117" t="s">
        <v>153</v>
      </c>
      <c r="C313" s="55" t="s">
        <v>19</v>
      </c>
      <c r="D313" s="156">
        <v>1</v>
      </c>
      <c r="E313" s="69">
        <v>1</v>
      </c>
      <c r="F313" s="108">
        <f t="shared" si="20"/>
        <v>5016.5192699999998</v>
      </c>
      <c r="G313" s="136">
        <f t="shared" si="19"/>
        <v>5016.5192699999998</v>
      </c>
      <c r="H313" s="110">
        <v>5016.5192699999998</v>
      </c>
      <c r="I313" s="138">
        <v>5016.5192699999998</v>
      </c>
      <c r="J313" s="110"/>
      <c r="K313" s="138"/>
      <c r="L313" s="110"/>
      <c r="M313" s="138"/>
      <c r="N313" s="147"/>
    </row>
    <row r="314" spans="1:14" outlineLevel="1" x14ac:dyDescent="0.25">
      <c r="A314" s="41" t="s">
        <v>657</v>
      </c>
      <c r="B314" s="117" t="s">
        <v>154</v>
      </c>
      <c r="C314" s="55" t="s">
        <v>19</v>
      </c>
      <c r="D314" s="156">
        <v>1</v>
      </c>
      <c r="E314" s="69">
        <v>1</v>
      </c>
      <c r="F314" s="108">
        <f t="shared" si="20"/>
        <v>3794.5876600000001</v>
      </c>
      <c r="G314" s="136">
        <f t="shared" si="19"/>
        <v>3794.5876600000001</v>
      </c>
      <c r="H314" s="110">
        <v>3794.5876600000001</v>
      </c>
      <c r="I314" s="138">
        <v>3794.5876600000001</v>
      </c>
      <c r="J314" s="110"/>
      <c r="K314" s="138"/>
      <c r="L314" s="110"/>
      <c r="M314" s="138"/>
      <c r="N314" s="147"/>
    </row>
    <row r="315" spans="1:14" outlineLevel="1" x14ac:dyDescent="0.25">
      <c r="A315" s="41" t="s">
        <v>658</v>
      </c>
      <c r="B315" s="117" t="s">
        <v>155</v>
      </c>
      <c r="C315" s="55" t="s">
        <v>19</v>
      </c>
      <c r="D315" s="156">
        <v>1</v>
      </c>
      <c r="E315" s="69">
        <v>1</v>
      </c>
      <c r="F315" s="108">
        <f t="shared" si="20"/>
        <v>3794.5876600000001</v>
      </c>
      <c r="G315" s="136">
        <f t="shared" si="19"/>
        <v>3794.5876600000001</v>
      </c>
      <c r="H315" s="110">
        <v>3794.5876600000001</v>
      </c>
      <c r="I315" s="138">
        <v>3794.5876600000001</v>
      </c>
      <c r="J315" s="110"/>
      <c r="K315" s="138"/>
      <c r="L315" s="110"/>
      <c r="M315" s="138"/>
      <c r="N315" s="147"/>
    </row>
    <row r="316" spans="1:14" ht="31.5" outlineLevel="1" x14ac:dyDescent="0.25">
      <c r="A316" s="41" t="s">
        <v>659</v>
      </c>
      <c r="B316" s="117" t="s">
        <v>139</v>
      </c>
      <c r="C316" s="55" t="s">
        <v>19</v>
      </c>
      <c r="D316" s="156">
        <v>1</v>
      </c>
      <c r="E316" s="69">
        <v>1</v>
      </c>
      <c r="F316" s="108">
        <f t="shared" si="20"/>
        <v>2235.79</v>
      </c>
      <c r="G316" s="136">
        <f t="shared" si="19"/>
        <v>2235.79</v>
      </c>
      <c r="H316" s="110">
        <v>2235.79</v>
      </c>
      <c r="I316" s="138">
        <v>2235.79</v>
      </c>
      <c r="J316" s="110"/>
      <c r="K316" s="138"/>
      <c r="L316" s="110"/>
      <c r="M316" s="138"/>
      <c r="N316" s="147"/>
    </row>
    <row r="317" spans="1:14" ht="47.25" outlineLevel="1" x14ac:dyDescent="0.25">
      <c r="A317" s="41" t="s">
        <v>660</v>
      </c>
      <c r="B317" s="117" t="s">
        <v>140</v>
      </c>
      <c r="C317" s="55" t="s">
        <v>19</v>
      </c>
      <c r="D317" s="156">
        <v>1</v>
      </c>
      <c r="E317" s="69">
        <v>1</v>
      </c>
      <c r="F317" s="108">
        <f t="shared" si="20"/>
        <v>3530.2882</v>
      </c>
      <c r="G317" s="136">
        <f t="shared" si="19"/>
        <v>3530.2882</v>
      </c>
      <c r="H317" s="110">
        <v>3530.2882</v>
      </c>
      <c r="I317" s="138">
        <v>3530.2882</v>
      </c>
      <c r="J317" s="110"/>
      <c r="K317" s="138"/>
      <c r="L317" s="110"/>
      <c r="M317" s="138"/>
      <c r="N317" s="147"/>
    </row>
    <row r="318" spans="1:14" outlineLevel="1" x14ac:dyDescent="0.25">
      <c r="A318" s="41" t="s">
        <v>661</v>
      </c>
      <c r="B318" s="117" t="s">
        <v>141</v>
      </c>
      <c r="C318" s="55" t="s">
        <v>19</v>
      </c>
      <c r="D318" s="156">
        <v>1</v>
      </c>
      <c r="E318" s="69">
        <v>1</v>
      </c>
      <c r="F318" s="108">
        <f t="shared" si="20"/>
        <v>5778.7840999999999</v>
      </c>
      <c r="G318" s="136">
        <f t="shared" si="19"/>
        <v>5778.7840999999999</v>
      </c>
      <c r="H318" s="110">
        <v>5778.7840999999999</v>
      </c>
      <c r="I318" s="138">
        <v>5778.7840999999999</v>
      </c>
      <c r="J318" s="110"/>
      <c r="K318" s="138"/>
      <c r="L318" s="110"/>
      <c r="M318" s="138"/>
      <c r="N318" s="147"/>
    </row>
    <row r="319" spans="1:14" outlineLevel="1" x14ac:dyDescent="0.25">
      <c r="A319" s="41" t="s">
        <v>662</v>
      </c>
      <c r="B319" s="117" t="s">
        <v>142</v>
      </c>
      <c r="C319" s="55" t="s">
        <v>19</v>
      </c>
      <c r="D319" s="156">
        <v>1</v>
      </c>
      <c r="E319" s="69">
        <v>1</v>
      </c>
      <c r="F319" s="108">
        <f t="shared" si="20"/>
        <v>5761.7819</v>
      </c>
      <c r="G319" s="136">
        <f t="shared" si="19"/>
        <v>5761.7819</v>
      </c>
      <c r="H319" s="110">
        <v>5761.7819</v>
      </c>
      <c r="I319" s="138">
        <v>5761.7819</v>
      </c>
      <c r="J319" s="110"/>
      <c r="K319" s="138"/>
      <c r="L319" s="110"/>
      <c r="M319" s="138"/>
      <c r="N319" s="147"/>
    </row>
    <row r="320" spans="1:14" ht="16.5" outlineLevel="1" thickBot="1" x14ac:dyDescent="0.3">
      <c r="A320" s="41" t="s">
        <v>663</v>
      </c>
      <c r="B320" s="122" t="s">
        <v>143</v>
      </c>
      <c r="C320" s="56" t="s">
        <v>19</v>
      </c>
      <c r="D320" s="174">
        <v>1</v>
      </c>
      <c r="E320" s="175">
        <v>1</v>
      </c>
      <c r="F320" s="36">
        <f t="shared" si="20"/>
        <v>4748.5747000000001</v>
      </c>
      <c r="G320" s="137">
        <f t="shared" si="19"/>
        <v>4748.5747000000001</v>
      </c>
      <c r="H320" s="21">
        <v>4748.5747000000001</v>
      </c>
      <c r="I320" s="163">
        <v>4748.5747000000001</v>
      </c>
      <c r="J320" s="21"/>
      <c r="K320" s="163"/>
      <c r="L320" s="21"/>
      <c r="M320" s="163"/>
      <c r="N320" s="164"/>
    </row>
    <row r="321" spans="1:14" ht="31.5" x14ac:dyDescent="0.25">
      <c r="A321" s="101">
        <v>34</v>
      </c>
      <c r="B321" s="111" t="s">
        <v>38</v>
      </c>
      <c r="C321" s="51"/>
      <c r="D321" s="152" t="s">
        <v>643</v>
      </c>
      <c r="E321" s="104" t="s">
        <v>644</v>
      </c>
      <c r="F321" s="75">
        <f>H321+J321+L321</f>
        <v>859003.60048666678</v>
      </c>
      <c r="G321" s="135">
        <f>I321+K321+M321+N321</f>
        <v>856679.73256999999</v>
      </c>
      <c r="H321" s="34">
        <f>SUM(H322:H345)</f>
        <v>859003.60048666678</v>
      </c>
      <c r="I321" s="213">
        <f>SUM(I322:I345)</f>
        <v>853773.16431999998</v>
      </c>
      <c r="J321" s="78"/>
      <c r="K321" s="159"/>
      <c r="L321" s="78"/>
      <c r="M321" s="159"/>
      <c r="N321" s="214">
        <f>SUM(N322:N345)</f>
        <v>2906.5682500000003</v>
      </c>
    </row>
    <row r="322" spans="1:14" ht="31.5" outlineLevel="1" x14ac:dyDescent="0.25">
      <c r="A322" s="41" t="s">
        <v>276</v>
      </c>
      <c r="B322" s="117" t="s">
        <v>156</v>
      </c>
      <c r="C322" s="53" t="s">
        <v>15</v>
      </c>
      <c r="D322" s="153">
        <v>1</v>
      </c>
      <c r="E322" s="106">
        <v>1</v>
      </c>
      <c r="F322" s="108">
        <f t="shared" ref="F322:F345" si="21">H322+J322+L322</f>
        <v>118720</v>
      </c>
      <c r="G322" s="136">
        <f>I322+K322+M322</f>
        <v>118720</v>
      </c>
      <c r="H322" s="110">
        <v>118720</v>
      </c>
      <c r="I322" s="138">
        <v>118720</v>
      </c>
      <c r="J322" s="110"/>
      <c r="K322" s="138"/>
      <c r="L322" s="110"/>
      <c r="M322" s="138"/>
      <c r="N322" s="147"/>
    </row>
    <row r="323" spans="1:14" ht="31.5" outlineLevel="1" x14ac:dyDescent="0.25">
      <c r="A323" s="41" t="s">
        <v>277</v>
      </c>
      <c r="B323" s="117" t="s">
        <v>157</v>
      </c>
      <c r="C323" s="53" t="s">
        <v>15</v>
      </c>
      <c r="D323" s="153">
        <v>1</v>
      </c>
      <c r="E323" s="106">
        <v>1</v>
      </c>
      <c r="F323" s="108">
        <f t="shared" si="21"/>
        <v>235200.00000000003</v>
      </c>
      <c r="G323" s="136">
        <f t="shared" ref="G323:G345" si="22">I323+K323+M323</f>
        <v>235200</v>
      </c>
      <c r="H323" s="110">
        <v>235200.00000000003</v>
      </c>
      <c r="I323" s="138">
        <v>235200</v>
      </c>
      <c r="J323" s="110"/>
      <c r="K323" s="138"/>
      <c r="L323" s="110"/>
      <c r="M323" s="138"/>
      <c r="N323" s="147"/>
    </row>
    <row r="324" spans="1:14" outlineLevel="1" x14ac:dyDescent="0.25">
      <c r="A324" s="41" t="s">
        <v>278</v>
      </c>
      <c r="B324" s="117" t="s">
        <v>294</v>
      </c>
      <c r="C324" s="53" t="s">
        <v>15</v>
      </c>
      <c r="D324" s="153">
        <v>1</v>
      </c>
      <c r="E324" s="106">
        <v>1</v>
      </c>
      <c r="F324" s="108">
        <f t="shared" si="21"/>
        <v>167000</v>
      </c>
      <c r="G324" s="136">
        <f t="shared" si="22"/>
        <v>167000</v>
      </c>
      <c r="H324" s="110">
        <v>167000</v>
      </c>
      <c r="I324" s="138">
        <v>167000</v>
      </c>
      <c r="J324" s="110"/>
      <c r="K324" s="138"/>
      <c r="L324" s="110"/>
      <c r="M324" s="138"/>
      <c r="N324" s="147"/>
    </row>
    <row r="325" spans="1:14" ht="31.5" outlineLevel="1" x14ac:dyDescent="0.25">
      <c r="A325" s="41" t="s">
        <v>279</v>
      </c>
      <c r="B325" s="117" t="s">
        <v>158</v>
      </c>
      <c r="C325" s="53" t="s">
        <v>15</v>
      </c>
      <c r="D325" s="153">
        <v>1</v>
      </c>
      <c r="E325" s="106">
        <v>1</v>
      </c>
      <c r="F325" s="108">
        <f t="shared" si="21"/>
        <v>13949.9</v>
      </c>
      <c r="G325" s="136">
        <f t="shared" si="22"/>
        <v>13949.9</v>
      </c>
      <c r="H325" s="110">
        <v>13949.9</v>
      </c>
      <c r="I325" s="138">
        <v>13949.9</v>
      </c>
      <c r="J325" s="110"/>
      <c r="K325" s="138"/>
      <c r="L325" s="110"/>
      <c r="M325" s="138"/>
      <c r="N325" s="147"/>
    </row>
    <row r="326" spans="1:14" ht="31.5" outlineLevel="1" x14ac:dyDescent="0.25">
      <c r="A326" s="41" t="s">
        <v>280</v>
      </c>
      <c r="B326" s="117" t="s">
        <v>159</v>
      </c>
      <c r="C326" s="53" t="s">
        <v>295</v>
      </c>
      <c r="D326" s="153">
        <v>1</v>
      </c>
      <c r="E326" s="106">
        <v>1</v>
      </c>
      <c r="F326" s="108">
        <f t="shared" si="21"/>
        <v>14441.9</v>
      </c>
      <c r="G326" s="136">
        <f t="shared" si="22"/>
        <v>14441.9</v>
      </c>
      <c r="H326" s="110">
        <v>14441.9</v>
      </c>
      <c r="I326" s="138">
        <v>14441.9</v>
      </c>
      <c r="J326" s="110"/>
      <c r="K326" s="138"/>
      <c r="L326" s="110"/>
      <c r="M326" s="138"/>
      <c r="N326" s="147"/>
    </row>
    <row r="327" spans="1:14" outlineLevel="1" x14ac:dyDescent="0.25">
      <c r="A327" s="41" t="s">
        <v>281</v>
      </c>
      <c r="B327" s="117" t="s">
        <v>160</v>
      </c>
      <c r="C327" s="53" t="s">
        <v>15</v>
      </c>
      <c r="D327" s="153">
        <v>1</v>
      </c>
      <c r="E327" s="106">
        <v>1</v>
      </c>
      <c r="F327" s="108">
        <f t="shared" si="21"/>
        <v>290.66365000000002</v>
      </c>
      <c r="G327" s="136">
        <f t="shared" si="22"/>
        <v>290.66365000000002</v>
      </c>
      <c r="H327" s="110">
        <v>290.66365000000002</v>
      </c>
      <c r="I327" s="138">
        <v>290.66365000000002</v>
      </c>
      <c r="J327" s="110"/>
      <c r="K327" s="138"/>
      <c r="L327" s="110"/>
      <c r="M327" s="138"/>
      <c r="N327" s="147"/>
    </row>
    <row r="328" spans="1:14" outlineLevel="1" x14ac:dyDescent="0.25">
      <c r="A328" s="41" t="s">
        <v>282</v>
      </c>
      <c r="B328" s="117" t="s">
        <v>161</v>
      </c>
      <c r="C328" s="53" t="s">
        <v>15</v>
      </c>
      <c r="D328" s="153">
        <v>260</v>
      </c>
      <c r="E328" s="106">
        <v>260</v>
      </c>
      <c r="F328" s="108">
        <f t="shared" si="21"/>
        <v>12714</v>
      </c>
      <c r="G328" s="136">
        <f t="shared" si="22"/>
        <v>12714</v>
      </c>
      <c r="H328" s="110">
        <v>12714</v>
      </c>
      <c r="I328" s="138">
        <v>12714</v>
      </c>
      <c r="J328" s="110"/>
      <c r="K328" s="138"/>
      <c r="L328" s="110"/>
      <c r="M328" s="138"/>
      <c r="N328" s="147"/>
    </row>
    <row r="329" spans="1:14" ht="31.5" outlineLevel="1" x14ac:dyDescent="0.25">
      <c r="A329" s="41" t="s">
        <v>283</v>
      </c>
      <c r="B329" s="117" t="s">
        <v>162</v>
      </c>
      <c r="C329" s="53" t="s">
        <v>15</v>
      </c>
      <c r="D329" s="153">
        <v>200</v>
      </c>
      <c r="E329" s="106">
        <v>200</v>
      </c>
      <c r="F329" s="108">
        <f t="shared" si="21"/>
        <v>650</v>
      </c>
      <c r="G329" s="136">
        <f t="shared" si="22"/>
        <v>378</v>
      </c>
      <c r="H329" s="110">
        <v>650</v>
      </c>
      <c r="I329" s="138">
        <v>378</v>
      </c>
      <c r="J329" s="110"/>
      <c r="K329" s="138"/>
      <c r="L329" s="110"/>
      <c r="M329" s="138"/>
      <c r="N329" s="147"/>
    </row>
    <row r="330" spans="1:14" ht="31.5" outlineLevel="1" x14ac:dyDescent="0.25">
      <c r="A330" s="41" t="s">
        <v>284</v>
      </c>
      <c r="B330" s="117" t="s">
        <v>163</v>
      </c>
      <c r="C330" s="53" t="s">
        <v>15</v>
      </c>
      <c r="D330" s="153">
        <v>50</v>
      </c>
      <c r="E330" s="106">
        <v>50</v>
      </c>
      <c r="F330" s="108">
        <f t="shared" si="21"/>
        <v>291.66649999999998</v>
      </c>
      <c r="G330" s="136">
        <f t="shared" si="22"/>
        <v>164.5</v>
      </c>
      <c r="H330" s="110">
        <v>291.66649999999998</v>
      </c>
      <c r="I330" s="138">
        <v>164.5</v>
      </c>
      <c r="J330" s="110"/>
      <c r="K330" s="138"/>
      <c r="L330" s="110"/>
      <c r="M330" s="138"/>
      <c r="N330" s="147"/>
    </row>
    <row r="331" spans="1:14" outlineLevel="1" x14ac:dyDescent="0.25">
      <c r="A331" s="41" t="s">
        <v>285</v>
      </c>
      <c r="B331" s="117" t="s">
        <v>164</v>
      </c>
      <c r="C331" s="53" t="s">
        <v>15</v>
      </c>
      <c r="D331" s="153">
        <v>200</v>
      </c>
      <c r="E331" s="106">
        <v>200</v>
      </c>
      <c r="F331" s="108">
        <f t="shared" si="21"/>
        <v>1496.672</v>
      </c>
      <c r="G331" s="136">
        <f t="shared" si="22"/>
        <v>1496.672</v>
      </c>
      <c r="H331" s="110">
        <v>1496.672</v>
      </c>
      <c r="I331" s="138">
        <v>1496.672</v>
      </c>
      <c r="J331" s="110"/>
      <c r="K331" s="138"/>
      <c r="L331" s="110"/>
      <c r="M331" s="138"/>
      <c r="N331" s="147"/>
    </row>
    <row r="332" spans="1:14" outlineLevel="1" x14ac:dyDescent="0.25">
      <c r="A332" s="41" t="s">
        <v>286</v>
      </c>
      <c r="B332" s="117" t="s">
        <v>165</v>
      </c>
      <c r="C332" s="53" t="s">
        <v>15</v>
      </c>
      <c r="D332" s="153">
        <v>7</v>
      </c>
      <c r="E332" s="106">
        <v>7</v>
      </c>
      <c r="F332" s="108">
        <f t="shared" si="21"/>
        <v>802.66669000000002</v>
      </c>
      <c r="G332" s="136">
        <f t="shared" si="22"/>
        <v>802.6666899999999</v>
      </c>
      <c r="H332" s="110">
        <v>802.66669000000002</v>
      </c>
      <c r="I332" s="138">
        <v>802.6666899999999</v>
      </c>
      <c r="J332" s="110"/>
      <c r="K332" s="138"/>
      <c r="L332" s="110"/>
      <c r="M332" s="138"/>
      <c r="N332" s="147"/>
    </row>
    <row r="333" spans="1:14" ht="31.5" outlineLevel="1" x14ac:dyDescent="0.25">
      <c r="A333" s="41" t="s">
        <v>287</v>
      </c>
      <c r="B333" s="117" t="s">
        <v>166</v>
      </c>
      <c r="C333" s="53" t="s">
        <v>15</v>
      </c>
      <c r="D333" s="153">
        <v>1</v>
      </c>
      <c r="E333" s="106">
        <v>1</v>
      </c>
      <c r="F333" s="108">
        <f t="shared" si="21"/>
        <v>14440</v>
      </c>
      <c r="G333" s="136">
        <f t="shared" si="22"/>
        <v>14440</v>
      </c>
      <c r="H333" s="110">
        <v>14440</v>
      </c>
      <c r="I333" s="138">
        <v>14440</v>
      </c>
      <c r="J333" s="17"/>
      <c r="K333" s="143"/>
      <c r="L333" s="63"/>
      <c r="M333" s="145"/>
      <c r="N333" s="149"/>
    </row>
    <row r="334" spans="1:14" ht="31.5" outlineLevel="1" x14ac:dyDescent="0.25">
      <c r="A334" s="41" t="s">
        <v>288</v>
      </c>
      <c r="B334" s="117" t="s">
        <v>167</v>
      </c>
      <c r="C334" s="53" t="s">
        <v>15</v>
      </c>
      <c r="D334" s="153">
        <v>1</v>
      </c>
      <c r="E334" s="106">
        <v>1</v>
      </c>
      <c r="F334" s="108">
        <f t="shared" si="21"/>
        <v>100800</v>
      </c>
      <c r="G334" s="136">
        <f t="shared" si="22"/>
        <v>100800</v>
      </c>
      <c r="H334" s="110">
        <v>100800</v>
      </c>
      <c r="I334" s="138">
        <v>100800</v>
      </c>
      <c r="J334" s="17"/>
      <c r="K334" s="143"/>
      <c r="L334" s="63"/>
      <c r="M334" s="145"/>
      <c r="N334" s="149"/>
    </row>
    <row r="335" spans="1:14" ht="31.5" outlineLevel="1" x14ac:dyDescent="0.25">
      <c r="A335" s="41" t="s">
        <v>289</v>
      </c>
      <c r="B335" s="117" t="s">
        <v>168</v>
      </c>
      <c r="C335" s="53" t="s">
        <v>15</v>
      </c>
      <c r="D335" s="153">
        <v>1</v>
      </c>
      <c r="E335" s="106">
        <v>1</v>
      </c>
      <c r="F335" s="108">
        <f t="shared" si="21"/>
        <v>62760</v>
      </c>
      <c r="G335" s="136">
        <f t="shared" si="22"/>
        <v>62760</v>
      </c>
      <c r="H335" s="110">
        <v>62760</v>
      </c>
      <c r="I335" s="138">
        <v>62760</v>
      </c>
      <c r="J335" s="17"/>
      <c r="K335" s="143"/>
      <c r="L335" s="63"/>
      <c r="M335" s="145"/>
      <c r="N335" s="149"/>
    </row>
    <row r="336" spans="1:14" outlineLevel="1" x14ac:dyDescent="0.25">
      <c r="A336" s="41" t="s">
        <v>290</v>
      </c>
      <c r="B336" s="117" t="s">
        <v>169</v>
      </c>
      <c r="C336" s="53" t="s">
        <v>295</v>
      </c>
      <c r="D336" s="153">
        <v>2</v>
      </c>
      <c r="E336" s="106">
        <v>2</v>
      </c>
      <c r="F336" s="108">
        <f t="shared" si="21"/>
        <v>16620</v>
      </c>
      <c r="G336" s="136">
        <f t="shared" si="22"/>
        <v>16620</v>
      </c>
      <c r="H336" s="110">
        <v>16620</v>
      </c>
      <c r="I336" s="138">
        <f>8310+8310</f>
        <v>16620</v>
      </c>
      <c r="J336" s="35"/>
      <c r="K336" s="143"/>
      <c r="L336" s="63"/>
      <c r="M336" s="145"/>
      <c r="N336" s="149"/>
    </row>
    <row r="337" spans="1:14" outlineLevel="1" x14ac:dyDescent="0.25">
      <c r="A337" s="41" t="s">
        <v>291</v>
      </c>
      <c r="B337" s="117" t="s">
        <v>170</v>
      </c>
      <c r="C337" s="53" t="s">
        <v>295</v>
      </c>
      <c r="D337" s="153">
        <v>1</v>
      </c>
      <c r="E337" s="106">
        <v>1</v>
      </c>
      <c r="F337" s="108">
        <f t="shared" si="21"/>
        <v>1050</v>
      </c>
      <c r="G337" s="136">
        <f t="shared" si="22"/>
        <v>1050</v>
      </c>
      <c r="H337" s="110">
        <v>1050</v>
      </c>
      <c r="I337" s="138">
        <v>1050</v>
      </c>
      <c r="J337" s="17"/>
      <c r="K337" s="143"/>
      <c r="L337" s="63"/>
      <c r="M337" s="145"/>
      <c r="N337" s="149"/>
    </row>
    <row r="338" spans="1:14" outlineLevel="1" x14ac:dyDescent="0.25">
      <c r="A338" s="41" t="s">
        <v>292</v>
      </c>
      <c r="B338" s="117" t="s">
        <v>171</v>
      </c>
      <c r="C338" s="53" t="s">
        <v>15</v>
      </c>
      <c r="D338" s="153">
        <v>34</v>
      </c>
      <c r="E338" s="106">
        <v>34</v>
      </c>
      <c r="F338" s="108">
        <f t="shared" si="21"/>
        <v>8907.8969799999995</v>
      </c>
      <c r="G338" s="136">
        <f t="shared" si="22"/>
        <v>8907.8969800000013</v>
      </c>
      <c r="H338" s="110">
        <v>8907.8969799999995</v>
      </c>
      <c r="I338" s="138">
        <v>8907.8969800000013</v>
      </c>
      <c r="J338" s="17"/>
      <c r="K338" s="143"/>
      <c r="L338" s="63"/>
      <c r="M338" s="145"/>
      <c r="N338" s="149"/>
    </row>
    <row r="339" spans="1:14" ht="31.5" outlineLevel="1" x14ac:dyDescent="0.25">
      <c r="A339" s="41" t="s">
        <v>293</v>
      </c>
      <c r="B339" s="117" t="s">
        <v>172</v>
      </c>
      <c r="C339" s="53" t="s">
        <v>295</v>
      </c>
      <c r="D339" s="153">
        <v>8</v>
      </c>
      <c r="E339" s="106">
        <v>5</v>
      </c>
      <c r="F339" s="108">
        <f t="shared" si="21"/>
        <v>88868.2346666667</v>
      </c>
      <c r="G339" s="136">
        <f t="shared" si="22"/>
        <v>79950</v>
      </c>
      <c r="H339" s="110">
        <v>88868.2346666667</v>
      </c>
      <c r="I339" s="138">
        <v>79950</v>
      </c>
      <c r="J339" s="17"/>
      <c r="K339" s="143"/>
      <c r="L339" s="63"/>
      <c r="M339" s="145"/>
      <c r="N339" s="149"/>
    </row>
    <row r="340" spans="1:14" outlineLevel="1" x14ac:dyDescent="0.25">
      <c r="A340" s="41" t="s">
        <v>605</v>
      </c>
      <c r="B340" s="117" t="s">
        <v>606</v>
      </c>
      <c r="C340" s="53" t="s">
        <v>15</v>
      </c>
      <c r="D340" s="153">
        <v>0</v>
      </c>
      <c r="E340" s="106">
        <v>10</v>
      </c>
      <c r="F340" s="108">
        <f t="shared" si="21"/>
        <v>0</v>
      </c>
      <c r="G340" s="136">
        <f t="shared" si="22"/>
        <v>920</v>
      </c>
      <c r="H340" s="110">
        <v>0</v>
      </c>
      <c r="I340" s="138">
        <v>920</v>
      </c>
      <c r="J340" s="17"/>
      <c r="K340" s="143"/>
      <c r="L340" s="63"/>
      <c r="M340" s="145"/>
      <c r="N340" s="149"/>
    </row>
    <row r="341" spans="1:14" outlineLevel="1" x14ac:dyDescent="0.25">
      <c r="A341" s="41" t="s">
        <v>607</v>
      </c>
      <c r="B341" s="117" t="s">
        <v>612</v>
      </c>
      <c r="C341" s="53" t="s">
        <v>15</v>
      </c>
      <c r="D341" s="153">
        <v>0</v>
      </c>
      <c r="E341" s="106">
        <v>5</v>
      </c>
      <c r="F341" s="108">
        <f t="shared" si="21"/>
        <v>0</v>
      </c>
      <c r="G341" s="136">
        <f>I341+K341+M341+N341</f>
        <v>1453.31825</v>
      </c>
      <c r="H341" s="110">
        <v>0</v>
      </c>
      <c r="I341" s="138">
        <v>0</v>
      </c>
      <c r="J341" s="17"/>
      <c r="K341" s="143"/>
      <c r="L341" s="63"/>
      <c r="M341" s="145"/>
      <c r="N341" s="147">
        <v>1453.31825</v>
      </c>
    </row>
    <row r="342" spans="1:14" outlineLevel="1" x14ac:dyDescent="0.25">
      <c r="A342" s="41" t="s">
        <v>608</v>
      </c>
      <c r="B342" s="117" t="s">
        <v>612</v>
      </c>
      <c r="C342" s="53" t="s">
        <v>15</v>
      </c>
      <c r="D342" s="153">
        <v>0</v>
      </c>
      <c r="E342" s="106">
        <v>5</v>
      </c>
      <c r="F342" s="108">
        <f t="shared" si="21"/>
        <v>0</v>
      </c>
      <c r="G342" s="136">
        <f>I342+K342+M342+N342</f>
        <v>1453.25</v>
      </c>
      <c r="H342" s="110">
        <v>0</v>
      </c>
      <c r="I342" s="138">
        <v>0</v>
      </c>
      <c r="J342" s="17"/>
      <c r="K342" s="143"/>
      <c r="L342" s="63"/>
      <c r="M342" s="145"/>
      <c r="N342" s="147">
        <v>1453.25</v>
      </c>
    </row>
    <row r="343" spans="1:14" outlineLevel="1" x14ac:dyDescent="0.25">
      <c r="A343" s="41" t="s">
        <v>609</v>
      </c>
      <c r="B343" s="117" t="s">
        <v>613</v>
      </c>
      <c r="C343" s="53" t="s">
        <v>15</v>
      </c>
      <c r="D343" s="153">
        <v>0</v>
      </c>
      <c r="E343" s="106">
        <v>10</v>
      </c>
      <c r="F343" s="108">
        <f t="shared" si="21"/>
        <v>0</v>
      </c>
      <c r="G343" s="136">
        <f t="shared" si="22"/>
        <v>476.99</v>
      </c>
      <c r="H343" s="110">
        <v>0</v>
      </c>
      <c r="I343" s="141">
        <f>(47699*10)/1000</f>
        <v>476.99</v>
      </c>
      <c r="J343" s="17"/>
      <c r="K343" s="143"/>
      <c r="L343" s="63"/>
      <c r="M343" s="145"/>
      <c r="N343" s="149"/>
    </row>
    <row r="344" spans="1:14" outlineLevel="1" x14ac:dyDescent="0.25">
      <c r="A344" s="41" t="s">
        <v>610</v>
      </c>
      <c r="B344" s="117" t="s">
        <v>613</v>
      </c>
      <c r="C344" s="53" t="s">
        <v>15</v>
      </c>
      <c r="D344" s="153">
        <v>0</v>
      </c>
      <c r="E344" s="106">
        <v>15</v>
      </c>
      <c r="F344" s="108">
        <f t="shared" si="21"/>
        <v>0</v>
      </c>
      <c r="G344" s="136">
        <f t="shared" si="22"/>
        <v>1163.9849999999999</v>
      </c>
      <c r="H344" s="110">
        <v>0</v>
      </c>
      <c r="I344" s="141">
        <f>(77599*15)/1000</f>
        <v>1163.9849999999999</v>
      </c>
      <c r="J344" s="17"/>
      <c r="K344" s="143"/>
      <c r="L344" s="63"/>
      <c r="M344" s="145"/>
      <c r="N344" s="149"/>
    </row>
    <row r="345" spans="1:14" ht="16.5" outlineLevel="1" thickBot="1" x14ac:dyDescent="0.3">
      <c r="A345" s="42" t="s">
        <v>611</v>
      </c>
      <c r="B345" s="122" t="s">
        <v>614</v>
      </c>
      <c r="C345" s="54" t="s">
        <v>15</v>
      </c>
      <c r="D345" s="158">
        <v>0</v>
      </c>
      <c r="E345" s="134">
        <v>10</v>
      </c>
      <c r="F345" s="36">
        <f t="shared" si="21"/>
        <v>0</v>
      </c>
      <c r="G345" s="137">
        <f t="shared" si="22"/>
        <v>1525.99</v>
      </c>
      <c r="H345" s="21">
        <v>0</v>
      </c>
      <c r="I345" s="142">
        <f>(152599*10)/1000</f>
        <v>1525.99</v>
      </c>
      <c r="J345" s="18"/>
      <c r="K345" s="144"/>
      <c r="L345" s="64"/>
      <c r="M345" s="146"/>
      <c r="N345" s="150"/>
    </row>
    <row r="346" spans="1:14" ht="27" customHeight="1" x14ac:dyDescent="0.25"/>
    <row r="347" spans="1:14" ht="18.75" x14ac:dyDescent="0.3">
      <c r="B347" s="7"/>
      <c r="C347" s="8"/>
      <c r="D347" s="8"/>
      <c r="E347" s="8"/>
      <c r="F347" s="9"/>
      <c r="G347" s="9"/>
      <c r="H347" s="9"/>
      <c r="I347" s="9"/>
      <c r="J347" s="9"/>
      <c r="K347" s="9"/>
    </row>
  </sheetData>
  <mergeCells count="180">
    <mergeCell ref="N12:N13"/>
    <mergeCell ref="F197:F201"/>
    <mergeCell ref="H197:H201"/>
    <mergeCell ref="J197:J201"/>
    <mergeCell ref="L197:L201"/>
    <mergeCell ref="N197:N201"/>
    <mergeCell ref="F190:F196"/>
    <mergeCell ref="H190:H196"/>
    <mergeCell ref="J190:J196"/>
    <mergeCell ref="L190:L196"/>
    <mergeCell ref="N190:N196"/>
    <mergeCell ref="M190:M196"/>
    <mergeCell ref="M197:M201"/>
    <mergeCell ref="K197:K201"/>
    <mergeCell ref="K190:K196"/>
    <mergeCell ref="G190:G196"/>
    <mergeCell ref="G197:G201"/>
    <mergeCell ref="I190:I196"/>
    <mergeCell ref="I197:I201"/>
    <mergeCell ref="N185:N189"/>
    <mergeCell ref="F168:F184"/>
    <mergeCell ref="H168:H184"/>
    <mergeCell ref="J168:J184"/>
    <mergeCell ref="L168:L184"/>
    <mergeCell ref="N168:N184"/>
    <mergeCell ref="M168:M184"/>
    <mergeCell ref="M185:M189"/>
    <mergeCell ref="K185:K189"/>
    <mergeCell ref="K168:K184"/>
    <mergeCell ref="I168:I184"/>
    <mergeCell ref="G168:G184"/>
    <mergeCell ref="G185:G189"/>
    <mergeCell ref="I185:I189"/>
    <mergeCell ref="J185:J189"/>
    <mergeCell ref="L185:L189"/>
    <mergeCell ref="L145:L166"/>
    <mergeCell ref="N145:N166"/>
    <mergeCell ref="F120:F141"/>
    <mergeCell ref="H120:H141"/>
    <mergeCell ref="J120:J141"/>
    <mergeCell ref="L120:L141"/>
    <mergeCell ref="N120:N141"/>
    <mergeCell ref="M120:M141"/>
    <mergeCell ref="K120:K141"/>
    <mergeCell ref="I120:I141"/>
    <mergeCell ref="G120:G141"/>
    <mergeCell ref="G145:G166"/>
    <mergeCell ref="I145:I166"/>
    <mergeCell ref="K145:K166"/>
    <mergeCell ref="M145:M166"/>
    <mergeCell ref="L112:L116"/>
    <mergeCell ref="N112:N116"/>
    <mergeCell ref="G112:G116"/>
    <mergeCell ref="I112:I116"/>
    <mergeCell ref="K112:K116"/>
    <mergeCell ref="M112:M116"/>
    <mergeCell ref="H96:H111"/>
    <mergeCell ref="I96:I111"/>
    <mergeCell ref="J96:J111"/>
    <mergeCell ref="K96:K111"/>
    <mergeCell ref="L96:L111"/>
    <mergeCell ref="M96:M111"/>
    <mergeCell ref="N96:N111"/>
    <mergeCell ref="F90:F95"/>
    <mergeCell ref="H90:H95"/>
    <mergeCell ref="J90:J95"/>
    <mergeCell ref="L90:L95"/>
    <mergeCell ref="N90:N95"/>
    <mergeCell ref="F72:F87"/>
    <mergeCell ref="H72:H87"/>
    <mergeCell ref="J72:J87"/>
    <mergeCell ref="L72:L87"/>
    <mergeCell ref="N72:N87"/>
    <mergeCell ref="M72:M87"/>
    <mergeCell ref="K72:K87"/>
    <mergeCell ref="I72:I87"/>
    <mergeCell ref="G72:G87"/>
    <mergeCell ref="G90:G95"/>
    <mergeCell ref="I90:I95"/>
    <mergeCell ref="K90:K95"/>
    <mergeCell ref="M90:M95"/>
    <mergeCell ref="A202:A203"/>
    <mergeCell ref="A205:A206"/>
    <mergeCell ref="A88:A89"/>
    <mergeCell ref="A117:A118"/>
    <mergeCell ref="F23:F33"/>
    <mergeCell ref="H23:H33"/>
    <mergeCell ref="J23:J33"/>
    <mergeCell ref="F59:F61"/>
    <mergeCell ref="H59:H61"/>
    <mergeCell ref="J59:J61"/>
    <mergeCell ref="F112:F116"/>
    <mergeCell ref="H112:H116"/>
    <mergeCell ref="J112:J116"/>
    <mergeCell ref="F145:F166"/>
    <mergeCell ref="H145:H166"/>
    <mergeCell ref="J145:J166"/>
    <mergeCell ref="F185:F189"/>
    <mergeCell ref="H185:H189"/>
    <mergeCell ref="F96:F111"/>
    <mergeCell ref="G96:G111"/>
    <mergeCell ref="F48:F58"/>
    <mergeCell ref="H48:H58"/>
    <mergeCell ref="J48:J58"/>
    <mergeCell ref="F69:F71"/>
    <mergeCell ref="G23:G33"/>
    <mergeCell ref="I23:I33"/>
    <mergeCell ref="K23:K33"/>
    <mergeCell ref="M23:M33"/>
    <mergeCell ref="G34:G38"/>
    <mergeCell ref="I34:I38"/>
    <mergeCell ref="K34:K38"/>
    <mergeCell ref="M34:M38"/>
    <mergeCell ref="L23:L33"/>
    <mergeCell ref="H34:H38"/>
    <mergeCell ref="J34:J38"/>
    <mergeCell ref="L34:L38"/>
    <mergeCell ref="F39:F42"/>
    <mergeCell ref="F43:F47"/>
    <mergeCell ref="G43:G47"/>
    <mergeCell ref="H43:H47"/>
    <mergeCell ref="I43:I47"/>
    <mergeCell ref="J43:J47"/>
    <mergeCell ref="K43:K47"/>
    <mergeCell ref="L43:L47"/>
    <mergeCell ref="M43:M47"/>
    <mergeCell ref="J39:J42"/>
    <mergeCell ref="K39:K42"/>
    <mergeCell ref="L39:L42"/>
    <mergeCell ref="G39:G42"/>
    <mergeCell ref="H39:H42"/>
    <mergeCell ref="I39:I42"/>
    <mergeCell ref="M39:M42"/>
    <mergeCell ref="F64:F68"/>
    <mergeCell ref="H64:H68"/>
    <mergeCell ref="J64:J68"/>
    <mergeCell ref="L64:L68"/>
    <mergeCell ref="N64:N68"/>
    <mergeCell ref="A10:N10"/>
    <mergeCell ref="H11:N11"/>
    <mergeCell ref="A11:A13"/>
    <mergeCell ref="B11:B13"/>
    <mergeCell ref="C11:C13"/>
    <mergeCell ref="D11:E12"/>
    <mergeCell ref="F11:G12"/>
    <mergeCell ref="A18:A19"/>
    <mergeCell ref="A20:A21"/>
    <mergeCell ref="H12:I12"/>
    <mergeCell ref="J12:K12"/>
    <mergeCell ref="L12:M12"/>
    <mergeCell ref="C15:N15"/>
    <mergeCell ref="N23:N33"/>
    <mergeCell ref="F34:F38"/>
    <mergeCell ref="N34:N38"/>
    <mergeCell ref="K48:K58"/>
    <mergeCell ref="I48:I58"/>
    <mergeCell ref="G48:G58"/>
    <mergeCell ref="N39:N42"/>
    <mergeCell ref="G59:G61"/>
    <mergeCell ref="I59:I61"/>
    <mergeCell ref="K59:K61"/>
    <mergeCell ref="M59:M61"/>
    <mergeCell ref="N59:N61"/>
    <mergeCell ref="N48:N58"/>
    <mergeCell ref="H69:H71"/>
    <mergeCell ref="J69:J71"/>
    <mergeCell ref="L69:L71"/>
    <mergeCell ref="N69:N71"/>
    <mergeCell ref="N43:N47"/>
    <mergeCell ref="L59:L61"/>
    <mergeCell ref="L48:L58"/>
    <mergeCell ref="M64:M68"/>
    <mergeCell ref="K64:K68"/>
    <mergeCell ref="I64:I68"/>
    <mergeCell ref="G64:G68"/>
    <mergeCell ref="G69:G71"/>
    <mergeCell ref="I69:I71"/>
    <mergeCell ref="K69:K71"/>
    <mergeCell ref="M48:M58"/>
    <mergeCell ref="M69:M71"/>
  </mergeCells>
  <pageMargins left="0.31496062992125984" right="0.31496062992125984" top="1.1417322834645669" bottom="0.39370078740157483" header="0.31496062992125984" footer="0.31496062992125984"/>
  <pageSetup paperSize="8" scale="5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Козлова Наталья</cp:lastModifiedBy>
  <cp:lastPrinted>2022-02-03T05:50:32Z</cp:lastPrinted>
  <dcterms:created xsi:type="dcterms:W3CDTF">2019-10-29T01:57:16Z</dcterms:created>
  <dcterms:modified xsi:type="dcterms:W3CDTF">2022-04-29T09:07:27Z</dcterms:modified>
</cp:coreProperties>
</file>