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530"/>
  </bookViews>
  <sheets>
    <sheet name="Приложение 1" sheetId="2" r:id="rId1"/>
    <sheet name="Лист1" sheetId="3" r:id="rId2"/>
  </sheets>
  <definedNames>
    <definedName name="_xlnm.Print_Titles" localSheetId="0">'Приложение 1'!$8:$12</definedName>
    <definedName name="_xlnm.Print_Area" localSheetId="1">Лист1!$A$1:$L$19</definedName>
    <definedName name="_xlnm.Print_Area" localSheetId="0">'Приложение 1'!$B$1:$N$126</definedName>
  </definedNames>
  <calcPr calcId="145621"/>
</workbook>
</file>

<file path=xl/calcChain.xml><?xml version="1.0" encoding="utf-8"?>
<calcChain xmlns="http://schemas.openxmlformats.org/spreadsheetml/2006/main">
  <c r="H82" i="2" l="1"/>
  <c r="H83" i="2"/>
  <c r="H84" i="2"/>
  <c r="H85" i="2"/>
  <c r="H77" i="2" l="1"/>
  <c r="H78" i="2"/>
  <c r="H79" i="2"/>
  <c r="H80" i="2"/>
  <c r="G77" i="2"/>
  <c r="G78" i="2"/>
  <c r="G79" i="2"/>
  <c r="G80" i="2"/>
  <c r="G85" i="2"/>
  <c r="I19" i="2"/>
  <c r="G19" i="2" s="1"/>
  <c r="K15" i="2"/>
  <c r="L15" i="2"/>
  <c r="M15" i="2"/>
  <c r="N15" i="2"/>
  <c r="I86" i="2"/>
  <c r="I81" i="2" s="1"/>
  <c r="G82" i="2"/>
  <c r="G83" i="2"/>
  <c r="G84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7" i="2"/>
  <c r="G18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H88" i="2"/>
  <c r="H90" i="2"/>
  <c r="H92" i="2"/>
  <c r="H93" i="2"/>
  <c r="H94" i="2"/>
  <c r="H95" i="2"/>
  <c r="H96" i="2"/>
  <c r="H97" i="2"/>
  <c r="H99" i="2"/>
  <c r="H100" i="2"/>
  <c r="H102" i="2"/>
  <c r="H17" i="2"/>
  <c r="H20" i="2"/>
  <c r="H21" i="2"/>
  <c r="H23" i="2"/>
  <c r="H25" i="2"/>
  <c r="H27" i="2"/>
  <c r="H29" i="2"/>
  <c r="H31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51" i="2"/>
  <c r="H52" i="2"/>
  <c r="H53" i="2"/>
  <c r="H54" i="2"/>
  <c r="H57" i="2"/>
  <c r="H58" i="2"/>
  <c r="H59" i="2"/>
  <c r="H60" i="2"/>
  <c r="H61" i="2"/>
  <c r="H64" i="2"/>
  <c r="H66" i="2"/>
  <c r="H68" i="2"/>
  <c r="H69" i="2"/>
  <c r="H70" i="2"/>
  <c r="H71" i="2"/>
  <c r="H72" i="2"/>
  <c r="H73" i="2"/>
  <c r="H74" i="2"/>
  <c r="H75" i="2"/>
  <c r="H76" i="2"/>
  <c r="H16" i="2"/>
  <c r="G16" i="2"/>
  <c r="K86" i="2"/>
  <c r="K81" i="2" s="1"/>
  <c r="L86" i="2"/>
  <c r="L81" i="2" s="1"/>
  <c r="M86" i="2"/>
  <c r="M81" i="2" s="1"/>
  <c r="M14" i="2" s="1"/>
  <c r="N86" i="2"/>
  <c r="N81" i="2" s="1"/>
  <c r="N14" i="2" s="1"/>
  <c r="L14" i="2" l="1"/>
  <c r="K14" i="2"/>
  <c r="G86" i="2"/>
  <c r="G81" i="2" s="1"/>
  <c r="J105" i="2" l="1"/>
  <c r="H105" i="2" s="1"/>
  <c r="J106" i="2"/>
  <c r="H106" i="2" s="1"/>
  <c r="J104" i="2"/>
  <c r="H104" i="2" s="1"/>
  <c r="J67" i="2"/>
  <c r="H67" i="2" s="1"/>
  <c r="J63" i="2"/>
  <c r="H63" i="2" s="1"/>
  <c r="J28" i="2"/>
  <c r="H28" i="2" s="1"/>
  <c r="J26" i="2"/>
  <c r="H26" i="2" s="1"/>
  <c r="J32" i="2"/>
  <c r="H32" i="2" s="1"/>
  <c r="J30" i="2"/>
  <c r="H30" i="2" s="1"/>
  <c r="J24" i="2"/>
  <c r="H24" i="2" s="1"/>
  <c r="J22" i="2"/>
  <c r="J65" i="2"/>
  <c r="H65" i="2" s="1"/>
  <c r="J62" i="2"/>
  <c r="H62" i="2" s="1"/>
  <c r="J50" i="2"/>
  <c r="J56" i="2"/>
  <c r="H56" i="2" s="1"/>
  <c r="J55" i="2"/>
  <c r="H55" i="2" s="1"/>
  <c r="J18" i="2"/>
  <c r="J91" i="2"/>
  <c r="H91" i="2" s="1"/>
  <c r="J89" i="2"/>
  <c r="H89" i="2" s="1"/>
  <c r="J87" i="2"/>
  <c r="J98" i="2"/>
  <c r="H98" i="2" s="1"/>
  <c r="J103" i="2"/>
  <c r="H103" i="2" s="1"/>
  <c r="J101" i="2"/>
  <c r="H101" i="2" s="1"/>
  <c r="H18" i="2" l="1"/>
  <c r="H22" i="2"/>
  <c r="J19" i="2"/>
  <c r="H19" i="2" s="1"/>
  <c r="H87" i="2"/>
  <c r="J86" i="2"/>
  <c r="J81" i="2" s="1"/>
  <c r="J49" i="2"/>
  <c r="J15" i="2" s="1"/>
  <c r="H50" i="2"/>
  <c r="H49" i="2" l="1"/>
  <c r="J14" i="2"/>
  <c r="H15" i="2"/>
  <c r="H14" i="2" s="1"/>
  <c r="H86" i="2"/>
  <c r="H81" i="2" s="1"/>
  <c r="I58" i="2" l="1"/>
  <c r="I15" i="2" l="1"/>
  <c r="I14" i="2" s="1"/>
  <c r="G58" i="2"/>
  <c r="G15" i="2" s="1"/>
  <c r="G14" i="2" l="1"/>
</calcChain>
</file>

<file path=xl/sharedStrings.xml><?xml version="1.0" encoding="utf-8"?>
<sst xmlns="http://schemas.openxmlformats.org/spreadsheetml/2006/main" count="270" uniqueCount="193">
  <si>
    <t>АО "Алатау Жарық Компаниясы"</t>
  </si>
  <si>
    <t>передача и распределение электрической энергии</t>
  </si>
  <si>
    <t>№п/п</t>
  </si>
  <si>
    <t>Наименование мероприятий инвестиционной программы</t>
  </si>
  <si>
    <t>(вид деятельности)</t>
  </si>
  <si>
    <t>Итого по Алматинской области</t>
  </si>
  <si>
    <t>Приобретение основных средств и нематериальных активов</t>
  </si>
  <si>
    <t>(наименование субъекта)</t>
  </si>
  <si>
    <t>Единица измерений</t>
  </si>
  <si>
    <t>ПСД</t>
  </si>
  <si>
    <t>км</t>
  </si>
  <si>
    <t>Бюджетные средства</t>
  </si>
  <si>
    <t>Информация субъекта естественной монополии</t>
  </si>
  <si>
    <t>план</t>
  </si>
  <si>
    <t>факт</t>
  </si>
  <si>
    <t>Снижение потерь, %, по годам реализации в зависимости от утвержденной инвестиционной программы (проекта)</t>
  </si>
  <si>
    <t>Снижение аварийности, по годам реализации в зависимости от утвержденной инвестиционной программы</t>
  </si>
  <si>
    <t>……</t>
  </si>
  <si>
    <t>Информация о реализации инвестиционной программы (проекта) в разрезе источников финансирования, тыс. тенге</t>
  </si>
  <si>
    <t>Сумма инвестиционной программы (проекты), тыс. тенге</t>
  </si>
  <si>
    <t xml:space="preserve">Создание (построение) системы АСКУЭ </t>
  </si>
  <si>
    <t>* Снижение износа (физического) основных фондов (активов), %, по годам реализации в зависимости от утвержденной инвестиционной программы (проекта)</t>
  </si>
  <si>
    <t>Количество в натуральных показателях</t>
  </si>
  <si>
    <r>
      <t>Показатели эффективности, надежности и качества</t>
    </r>
    <r>
      <rPr>
        <b/>
        <vertAlign val="superscript"/>
        <sz val="12"/>
        <color rgb="FF000000"/>
        <rFont val="Times New Roman"/>
        <family val="1"/>
        <charset val="204"/>
      </rPr>
      <t>2</t>
    </r>
  </si>
  <si>
    <t>Реконструкция ВЛ-110 кВ №102А, 105А, 109А, 120АИ с заменой на композитный провод и заход-выходом ВЛ-110 кВ №120АИ на ПС-220 кВ "Бесагаш"</t>
  </si>
  <si>
    <t>Итого по г.Алматы</t>
  </si>
  <si>
    <t>Капитализированные проценты</t>
  </si>
  <si>
    <t>Капитальный ремонт распределительных сетей и оборудования</t>
  </si>
  <si>
    <t>Собственные средства</t>
  </si>
  <si>
    <t>Заемные средства</t>
  </si>
  <si>
    <t>Перевод части нагрузок с существующей ПС№4 на вновь построенную ПС 110/10-10 кВ «Алатау»</t>
  </si>
  <si>
    <t>Инвестиционная программа на 2020 год</t>
  </si>
  <si>
    <t>ВСЕГО на 2020 год</t>
  </si>
  <si>
    <t>Разработка ПСД Перевод сетей 6 кВ коммунально-бытовых потребителей на напряжение 10 кВ, Строительство ТП для разгрузки перегруженных ТП и РП, реконструкция существующих ТП и РП, КЛ и ВЛ с заменой проводов на СИП</t>
  </si>
  <si>
    <t>Перевод сетей 6 кВ коммунально-бытовых потребителей на напряжение 10 кВ, Строительство ТП для разгрузки перегруженных ТП и РП, реконструкция существующих ТП и РП, КЛ и ВЛ с заменой проводов на СИП</t>
  </si>
  <si>
    <t>шт</t>
  </si>
  <si>
    <t>Строительство ПС 110/10 кВ Театральная взамен ПС ПС-35/6кВ №58А Театральная с 2хКЛ-110кВ</t>
  </si>
  <si>
    <t>Строительство ПС 110/10кВ Сахарный завод с КЛ 110 кВ от ПС Коянкус</t>
  </si>
  <si>
    <t>Реконструкция КЛ-35 кВ от ПС №65А "Ремстройтехника" до опоры №2 ПС №36А "Мраморный завод"</t>
  </si>
  <si>
    <t>Разработка ПСД реконструкция электрических сетей 10-6/0,4кВ по Алматинской области с заменой проводов на СИП</t>
  </si>
  <si>
    <t>план 2020 год</t>
  </si>
  <si>
    <t>Перевод части нагрузок с существующих ПС-5А, ПС-17А и ПС-132А на вновь построенную ПС110/10 "Отрар"</t>
  </si>
  <si>
    <t>__</t>
  </si>
  <si>
    <t>Корректировка ПСД «Строительство ПС 110/10 кВ «Кокозек» с присоединением к ОРУ-110 кВ ПС 220 кВ «Каскелен» Карасайского района Алматинской области</t>
  </si>
  <si>
    <t>Реконструкция и новое строительство электрических сетей 10-6-0,4 кВ , замена перегруженных и отработавщих нормативный срок КЛ для повышения надежности по РЭС-1</t>
  </si>
  <si>
    <t>Разработка ПСД "Строительство 2 КЛ-10 кВ от разных секций ПС-119А на РП-183 с установкой в/в ячейки на ПС-119А и РП-183"</t>
  </si>
  <si>
    <t>Разработка ПСД "Прокладка 2КЛ-10кВ путем врезки в существующий КЛ-6кВ "ф.36-1А-РП-41" до ТП-2391"</t>
  </si>
  <si>
    <t>Разработка ПСД "Прокладка КЛ-10кВ: "РП24-оп.№1 ВЛ-6кВ ТП-5041"</t>
  </si>
  <si>
    <t>Разработка ПСД "Перевод нагрузки с ф.9 ПС-127 на проектируемый РП со строительством 2 КЛ-10 кВ от ПС-171"</t>
  </si>
  <si>
    <t>Разработка ПСД "Схема надежного электроснабжения ТП-2077 "БСМП" (потребитель 1 категории)</t>
  </si>
  <si>
    <t>Разработка ПСД "Прокладка КЛ-10кВ "ПС-151А - ТП-1203"</t>
  </si>
  <si>
    <t>Проведение комплексной вневедомственной экспертизы по рабочему проекту "Прокладка КЛ-10кВ "ПС-151А - ТП-1203"</t>
  </si>
  <si>
    <t>Проведение комплексной вневедомственной экспертизы по рабочему проекту "Строительство 2 КЛ-10 кВ от разных секций ПС-119А на РП-183 с установкой в/в ячейки на ПС-119А и РП-183"</t>
  </si>
  <si>
    <t>Проведение комплексной вневедомственной экспертизы по рабочему проекту "Перевод нагрузки с ф.9 ПС-127 на проектируемый РП со строительством 2 КЛ-10 кВ от ПС-171"</t>
  </si>
  <si>
    <t>Проведение комплексной вневедомственной экспертизы по рабочему проекту "Прокладка 2КЛ-10кВ путем врезки в существующий КЛ-6кВ "ф.36-1А-РП-41" до ТП-2391"</t>
  </si>
  <si>
    <t>Разработка ПСД "Прокладка КЛ-10кВ от ПС-151А "Райымбек" до РП-41 с.2"</t>
  </si>
  <si>
    <t>Проведение комплексной вневедомственной экспертизы по рабочему проекту "Прокладка КЛ-10кВ от ПС-151А "Райымбек" до РП-41 с.2"</t>
  </si>
  <si>
    <t>Проведение комплексной вневедомственной экспертизы по рабочему проекту "Прокладка КЛ-10кВ: "РП24-оп.№1 ВЛ-6кВ ТП-5041"</t>
  </si>
  <si>
    <t>Проведение комплексной вневедомственной экспертизы по рабочему проекту "Схема надежного электроснабжения ТП-2077 "БСМП" (потребитель 1 категории)</t>
  </si>
  <si>
    <t>Корректировка ПСД «Реконструкция и новое строительство электрических сетей 10-6-0,4 кВ по РЭС-2, замена перегруженных и отработавших нормативный срок КЛ для повышения надежности электроснабжения»</t>
  </si>
  <si>
    <t>Проведение комплексной вневедомственной экспертизы по рабочему проекту «Реконструкция и новое строительство электрических сетей 10-6-0,4 кВ по РЭС-2, замена перегруженных и отработавших нормативный срок КЛ для повышения надежности электроснабжения»</t>
  </si>
  <si>
    <t>Корректировка ПСД «Реконструкция и новое строительство электрических сетей 10-6-0,4 кВ по РЭС-4, замена перегруженных и отработавших нормативный срок КЛ для повышения надежности электроснабжения»</t>
  </si>
  <si>
    <t>Проведение комплексной вневедомственной экспертизы по рабочему проекту «Реконструкция и новое строительство электрических сетей 10-6-0,4 кВ по РЭС-4, замена перегруженных и отработавших нормативный срок КЛ для повышения надежности электроснабжения»</t>
  </si>
  <si>
    <t>Разработка ПСД «Реконструкция и новое строительство электрических сетей 6-10 кВ по РЭС-1, РЭС-2, РЭС-4, РЭС-5, РЭС-6, РЭС-7 замена перегруженных и отработавших нормативный срок КЛ для повышения надежности электроснабжения»</t>
  </si>
  <si>
    <t>Разработка ПСД «Реконструкция ВЛ-0,4 кВ по РЭС с заменой проводов на СИП, в том числе строительство и реконструкция существующих ТП-6-10/0,4 кВ для разгрузки перегруженных ТП-6-10/0,4 кВ»</t>
  </si>
  <si>
    <t>Разработка ПСД «Реконструкция и новое строительство электрических сетей 6-10 кВ по РЭС-1, РЭС-2, РЭС-5, РЭС-6, РЭС-7 замена перегруженных и отработавших нормативный срок КЛ для повышения надежности электроснабжения»</t>
  </si>
  <si>
    <t>Разработка ПСД «Перевод электрических сетей 6 кВ РП-42 на повышенное напряжение 10 кВ. Замена существующих КЛ»</t>
  </si>
  <si>
    <t>Проведение комплексной вневедомственной экспертизы по рабочему проекту  «Перевод электрических сетей 6 кВ РП-42 на повышенное напряжение 10 кВ. Замена существующих КЛ»</t>
  </si>
  <si>
    <t>Разработка ПСД «Перевод электрических сетей 6 кВ РП-48, РП-49 и ТП-001 на повышенное напряжение 10 кВ. Замена оборудования и прокладка новых КЛ-10 кВ»</t>
  </si>
  <si>
    <t>Проведение комплексной вневедомственной экспертизы по рабочему проекту  «Перевод электрических сетей 6 кВ РП-48, РП-49 и ТП-001 на повышенное напряжение 10 кВ. Замена оборудования и прокладка новых КЛ-10 кВ»</t>
  </si>
  <si>
    <t>Корректировка ПСД "Перевод части нагрузок с существующих ПС-5А, ПС-17А, ПС-132А на вновь построенную ПС-110/10кВ "Отрар"</t>
  </si>
  <si>
    <t>Проведение комплексной вневедомственной экспертизы по рабочему проекту  "Перевод части нагрузок с существующих ПС-5А, ПС-17А, ПС-132А на вновь построенную ПС-110/10кВ "Отрар"</t>
  </si>
  <si>
    <t>Проведение комплексной вневедомственной экспертизы по рабочему проекту "Реконструкция ПС-220/110/10 кВ №7А "АХБК"</t>
  </si>
  <si>
    <t>Трансформаторы для проекта Перевод части нагрузок с существующих ПС-5А, ПС-17А и ПС-132А на вновь построенную ПС110/10 "Отрар"</t>
  </si>
  <si>
    <t xml:space="preserve">Реконструкция и новое строительство электрических сетей 10-6-0,4 кВ , замена перегруженных и отработавщих нормативный срок КЛ для повышения надежности по РЭС-6 </t>
  </si>
  <si>
    <t>Перевод нагрузки с ПС№19А на вновь построенную ПС "Мамыр"</t>
  </si>
  <si>
    <t>Реконструкция , новое строительство ВЛ-0,4кВ по РЭС-1, РЭС-4, РЭС-5, РЭС-7 с переводом на самонесущий изолированый провод. Строительство и реконструкция существующих ТП для разгрузки перегруженных ТП. Реконструкция не соответствующих эксплуатационным требованиям ТП-6-10/0,4кВ.</t>
  </si>
  <si>
    <t>Трансформаторы для перевода сетей 6 кВ на напряжение 10 кВ на ПС №6А, ПС №3А (ПС №168А). 1-ый этап</t>
  </si>
  <si>
    <t>Перевод сетей 6 кВ на напряжение 10 кВ на ПС №6А, ПС №3А (ПС №168А). 2-ый этап</t>
  </si>
  <si>
    <t xml:space="preserve">Разработка ПСД автоматизированной системы коммерческого учета электроэнергии ПС областных РЭС и РП города, и расширению существующих систем диспетчеризации с установкой систем телемеханики и связи в ЖРЭС, ТРЭС АО «АЖК» </t>
  </si>
  <si>
    <t xml:space="preserve">Проведение комплексной вневедомственной экспертизы по рабочему проекту Автоматизированные системы коммерческого учета электроэнергии ПС областных РЭС и РП города, и расширению существующих систем диспетчеризации с установкой систем телемеханики и связи в ЖРЭС, ТРЭС АО «АЖК» </t>
  </si>
  <si>
    <t>Расширение существующей системы диспетчеризации ATI SCADA</t>
  </si>
  <si>
    <t>Пуско-наладочные работы по реконструкции ВЛ-110 кВ №102А, 105А, 109А, 120АИ с заменой на композитный провод и заход-выходом ВЛ-110 кВ №120АИ на ПС-220 кВ "Бесагаш"</t>
  </si>
  <si>
    <t>Реконструкция оборудования сетей 6кВ РП-42 и перевод сетей 6кВ РП-42 на повышенное напряжение 10кВ</t>
  </si>
  <si>
    <t>Проведение комплексной вневедомственной экспертизы по рабочему проекту Реконструкция КЛ-35 кВ от ПС№65А"Ремстройтехника" до опоры №2 ПС 36А "Мраморный з-д"</t>
  </si>
  <si>
    <t>Корректировка ПСД "Строительство "ПС 110/10/6 кВ "Турксиб"</t>
  </si>
  <si>
    <t>Проведение комплексной вневедомственной экспертизы по рабочему проекту "Строительство "ПС 110/10/6 кВ "Турксиб"</t>
  </si>
  <si>
    <t>Разработка ПСД Реконструкция  ПС 110/10кВ №119А "Новозападная"</t>
  </si>
  <si>
    <t>Проведение комплексной вневедомственной экспертизы по рабочему проекту  Реконструкция  ПС 110/10кВ №119А "Новозападная"</t>
  </si>
  <si>
    <t xml:space="preserve">Разработка ПСД "Реконструкция ПС 110 кВ №46А "Шоссейная" с заменой трансформаторов на 2х63МВА с КРУН-10кВ" </t>
  </si>
  <si>
    <t xml:space="preserve">Проведение комплексной вневедомственной экспертизы по рабочему проекту "Реконструкция ПС 110 кВ №46А "Шоссейная" с заменой трансформаторов на 2х63МВА с КРУН-10кВ" </t>
  </si>
  <si>
    <t>Корректировка ПСД «Модернизация систем безопасности зданий и прилегающих к ним территорий (Манаса 24Б, Розыбакиева 6)</t>
  </si>
  <si>
    <t>Проведение комплексной вневедомственной экспертизы по рабочему проекту  «Модернизация систем безопасности зданий и прилегающих к ним территорий (Манаса 24Б, Розыбакиева 6)</t>
  </si>
  <si>
    <t xml:space="preserve">Реконструкция  ПС 110/35/6кВ №16И НЯЦ </t>
  </si>
  <si>
    <t xml:space="preserve">Разработка ПСД Реконструкция  ПС 110/10кВ №127А Каменка </t>
  </si>
  <si>
    <t>Разработка ПСД "Реконструкция электрических сетей 10/0,4кВ РЭС "Отеген батыр"</t>
  </si>
  <si>
    <t>Проведение комплексной вневедомственной экспертизы по рабочему проекту "Реконструкция электрических сетей 10/0,4кВ РЭС "Отеген батыр"</t>
  </si>
  <si>
    <t>Разработка ПСД "Реконструкция электрических сетей 6-10/0,4кВ Карасайского РЭС"</t>
  </si>
  <si>
    <t>Проведение комплексной вневедомственной экспертизы по рабочему проекту "Реконструкция электрических сетей 6-10/0,4кВ Карасайского РЭС"</t>
  </si>
  <si>
    <t>Разработка ПСД "Реконструкция электрических сетей 6-10/0,4кВ Талгарского РЭС"</t>
  </si>
  <si>
    <t>Проведение комплексной вневедомственной экспертизы по рабочему проекту "Реконструкция электрических сетей 6-10/0,4кВ Талгарского РЭС"</t>
  </si>
  <si>
    <t>Разработка ПСД «Реконструкция и строительство распределительных сетей 35-10-6-0,4кВ по Алматинской области со строительством РП-10кВ и ВЛ-10кВ в Карасайском районе Алматинской области»</t>
  </si>
  <si>
    <t>Проведение комплексной вневедомственной экспертизы по рабочему проекту «Реконструкция и строительство распределительных сетей 35-10-6-0,4кВ по Алматинской области со строительством РП-10кВ и ВЛ-10кВ в Карасайском районе Алматинской области»</t>
  </si>
  <si>
    <t>Реконструкция электрических сетей 10-6/0,4 кВ по Алматинской области с  заменой проводов на СИП</t>
  </si>
  <si>
    <t>Создание (построение) системы АСКУЭ</t>
  </si>
  <si>
    <t xml:space="preserve">Разработка ПСД Реконструкция  ПС 220/110/35/10кВ №68И Шелек </t>
  </si>
  <si>
    <t>Проведение комплексной вневедомственной экспертизы по рабочему проекту «Строительство ПС 110/10 кВ «Кокозек» с присоединением к ОРУ-110 кВ ПС 220 кВ «Каскелен» Карасайского района Алматинской области</t>
  </si>
  <si>
    <t>«Строительство ПС 110/10 кВ «Кокозек» с присоединением к ОРУ-110 кВ ПС 220 кВ «Каскелен» Карасайского района Алматинской области</t>
  </si>
  <si>
    <t>Изготовление землеустроительного проекта на земельные участки по опорами ЛЭП-110кВ "Кокозек" с присоединением к ОРУ-10кВ ПС 220кВ "Каскелен"</t>
  </si>
  <si>
    <t>Арендная плата за временное возмездное пользование земельного участка для ПС "Кокозек"</t>
  </si>
  <si>
    <t>Услуги по выполнению топографической съемки трассы ВЛ-110кВ ПС "Каскелен" -ПС "Кокозек", протяженностью 16 км, с проведением геологических и геодезических изысканий.</t>
  </si>
  <si>
    <t xml:space="preserve">Проведение комплексной вневедомственной экспертизы по рабочему проекту «Строительство двух ЛЭП-110 кВ ПС 220/110/10 кВ «Каскелен» - ПС 110/35/10 кВ № 94А «Северный Каскелен», с отпайкой к  ПС 110/10 кВ № 27А «Каскелен» </t>
  </si>
  <si>
    <t>Разработка ПСД "Развитие Шелекского энергоузла"</t>
  </si>
  <si>
    <t>Перевод нагрузки ПС-220/110/10кВ №131А «Горный Гигант» на ПС-220/110/10кВ №160А «Ерменсай» по сетям 110кВ с последующим демонтажем ПС-131А</t>
  </si>
  <si>
    <t>Пуско-наладочные работы по Перевод нагрузки ПС-220/110/10кВ №131А «Горный Гигант» на ПС-220/110/10кВ №160А «Ерменсай» по сетям 110кВ с последующим демонтажем ПС-131А</t>
  </si>
  <si>
    <t>Перевод существующих сетей 6 кВ ПС-22А, 50А, 54А, 100А на напряжение 10 кВ от ЛЭП-10 кВ ПС-150А "Алмалы" и от вновь построенных ПС "Медеу" и "Шымбулак"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</si>
  <si>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</si>
  <si>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</si>
  <si>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</si>
  <si>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</si>
  <si>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</si>
  <si>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</si>
  <si>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</si>
  <si>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</si>
  <si>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</si>
  <si>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</si>
  <si>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</si>
  <si>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</si>
  <si>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</si>
  <si>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</si>
  <si>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</si>
  <si>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</si>
  <si>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Экспертиза</t>
  </si>
  <si>
    <t>Разработка ПСД "Реконструкция КЛ-35 кВ от ПС№65А"Ремстройтехника" до опоры №2 ПС №36А "Мраморный з-д"</t>
  </si>
  <si>
    <t>Строительство двухцепной ВЛ-110кВ ПС сев.Каскелен №94-ПС Каскелен-220кВ, с отпайкой к ПС Каскелен №27</t>
  </si>
  <si>
    <t>Корректировка ПСД Строительство двухцепной ВЛ-110кВ ПС сев.Каскелен №94-ПС Каскелен-220кВ, с отпайкой к ПС Каскелен №27</t>
  </si>
  <si>
    <t xml:space="preserve">факт                                                         
за 3 кв. 2019 года
</t>
  </si>
  <si>
    <t xml:space="preserve">факт                                                         
за 3 кв. 2020 года
</t>
  </si>
  <si>
    <t>___</t>
  </si>
  <si>
    <t>36.1</t>
  </si>
  <si>
    <t>36.2</t>
  </si>
  <si>
    <t>36.3</t>
  </si>
  <si>
    <t>36.4</t>
  </si>
  <si>
    <t>Реконструкция РП и ТП в зоне ПС 3А (168А) и ПС 6А (1 этап)</t>
  </si>
  <si>
    <t>ОС 486 шт; НМА 18 шт.</t>
  </si>
  <si>
    <t>ОС 1008 шт; Работы 35.</t>
  </si>
  <si>
    <t>м2
компл.
шт.</t>
  </si>
  <si>
    <t>217,05
5
26</t>
  </si>
  <si>
    <t>шт
км</t>
  </si>
  <si>
    <t>107
46,94</t>
  </si>
  <si>
    <t>ПСД
Экспертиза</t>
  </si>
  <si>
    <t>15
13</t>
  </si>
  <si>
    <t>компл.
Шт.
км</t>
  </si>
  <si>
    <t>3
17
3,43</t>
  </si>
  <si>
    <t>2
6
2,43</t>
  </si>
  <si>
    <t>3
3,511</t>
  </si>
  <si>
    <t>компл
шт
км</t>
  </si>
  <si>
    <t>8
3933
154,5</t>
  </si>
  <si>
    <t>компл</t>
  </si>
  <si>
    <t>шт.</t>
  </si>
  <si>
    <t>1
1</t>
  </si>
  <si>
    <t>1495
157,814</t>
  </si>
  <si>
    <t xml:space="preserve">компл
шт </t>
  </si>
  <si>
    <t>1
18</t>
  </si>
  <si>
    <t>ПНР</t>
  </si>
  <si>
    <t>ПСД
экспертиза</t>
  </si>
  <si>
    <t>4
4</t>
  </si>
  <si>
    <t>компл
шт</t>
  </si>
  <si>
    <t>22
2176</t>
  </si>
  <si>
    <t>проект</t>
  </si>
  <si>
    <t>Топосъемка</t>
  </si>
  <si>
    <t>80
1074</t>
  </si>
  <si>
    <t>Штука</t>
  </si>
  <si>
    <t>Приобретены шкафы УТМ-64М -2 компл.</t>
  </si>
  <si>
    <t>Реконструировано ТП-10/0,4 кв  78 штук</t>
  </si>
  <si>
    <t xml:space="preserve">Выполнено заземление опор ВЛ-110кВ №120АИ.
Выполнено реконструкция ВЛ-110кВ №123А. 
Работы по реконструкции ВЛ-110кВ завершены. Выполнена замена опор №35 ВЛ-109А, №20,ВЛ - 123А
№15, №19, ВЛ-105А
</t>
  </si>
  <si>
    <t xml:space="preserve">выполнены работы по замене КСО в ТП , установлено 13штук;
-выполнены работы по замене ЩО – 70, установлено 4 штуки.
- по монтажу и пусконаладочных работ шкафов ТМ УТМ-64М в ТП установлено 46 из 46. (100%) завершен.
- по монтажу ячеек КСО в РП-42;
 - по монтажу и пусконаладочных работ шкафов ТМ УТМ-64М в ТП
</t>
  </si>
  <si>
    <t>Заместитель Председателя Правления по развитию и капитальному строительству</t>
  </si>
  <si>
    <t>Абылкасимов Н.А.</t>
  </si>
  <si>
    <t>Управляющий директор по капитальному строительству</t>
  </si>
  <si>
    <t>Ибраимханов Д.Е.</t>
  </si>
  <si>
    <t>Заместитель начальника управления капитального строительства</t>
  </si>
  <si>
    <t>Сахиев А.Д.</t>
  </si>
  <si>
    <t>Начальник управления перспективного развития </t>
  </si>
  <si>
    <t>Жакупбеков Н.Е.</t>
  </si>
  <si>
    <t xml:space="preserve">Заместитель Председателя Правления </t>
  </si>
  <si>
    <t>по развитию и капитальному строительству</t>
  </si>
  <si>
    <t>Прокладка кабеля 10кВ-3,0км; Приобретен кабель силовой 1х630/70 -4,229км</t>
  </si>
  <si>
    <t>о ходе исполнения субъектом инвестиционной программы за 3 квартала 2020 года</t>
  </si>
  <si>
    <t>разработка траншеи и прокладка кабеля АПвПУ -46,940 км. СМР по монтажу КТП-9 шт., СМР по монтажу ТМГ-98 шт.</t>
  </si>
  <si>
    <t>Приобретено оборудование ТП 10 кВ -3 компл., РП 10 кВ -5 компл., ПС (электрическая подстанция) -1 компл., соединительных кабельных муфт- 19шт., СМР по реконструкции РП-5 компл., СМР по реконструкции ТП-48 компл., СМР по наладке системы телемеханики в  ТП-85 компл., СМР по наладке системы телемеханики в РП-5компл., СМР по наладке системы телемеханики на ПС-5 компл., приобретен силового кабеля 10 кВ -112,125 км, СМР по прокладке  силового кабеля 10 кВ - 23,2 км.</t>
  </si>
  <si>
    <t>приобретение оборудования ТП (трансформаторных подстанции 10 кВ) -3 компл., приобретение оборудования РП (распределительный пункт 10 кВ) -5 компл., приобретение оборудования ПС (электрическая подстанция) -1 компл., приобретение соединительных кабельных муфт- 19шт., СМР по реконструкции РП-5 компл., СМР по реконструкции ТП-59 компл., СМР по наладке системы телемеханики в  ТП-117 компл., СМР по наладке системы телемеханики в РП-5компл., СМР по наладке системы телемеханики на ПС-5 компл., приобретение силового кабеля 10 кВ -112,125 км, СМР по прокладке  силового кабеля 10 кВ - 28,389 км.</t>
  </si>
  <si>
    <t>ПСД - 3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</si>
</sst>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#,##0.000"/>
    <numFmt numFmtId="166" formatCode="_(* #,##0.00_);_(* \(#,##0.00\);_(* &quot;-&quot;??_);_(@_)"/>
    <numFmt numFmtId="167" formatCode="0.0%"/>
  </numFmts>
  <fonts count="25" x14ac:knownFonts="1">
    <font>
      <sz val="11"/>
      <color theme="1"/>
      <name val="Calibri"/>
      <family val="2"/>
      <charset val="204"/>
      <scheme val="minor"/>
    </font>
    <font>
      <sz val="10"/>
      <color theme="1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color rgb="FF00000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family val="2"/>
      <charset val="204"/>
    </font>
    <font>
      <b/>
      <u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Helv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vertAlign val="superscript"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u/>
      <sz val="14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1" fillId="0" borderId="0"/>
    <xf numFmtId="0" fontId="3" fillId="0" borderId="0"/>
    <xf numFmtId="0" fontId="4" fillId="0" borderId="0">
      <alignment horizontal="left" vertical="top"/>
    </xf>
    <xf numFmtId="164" fontId="5" fillId="0" borderId="0" applyFont="0" applyFill="0" applyBorder="0" applyAlignment="0" applyProtection="0"/>
    <xf numFmtId="0" fontId="5" fillId="0" borderId="0"/>
    <xf numFmtId="0" fontId="8" fillId="0" borderId="0"/>
    <xf numFmtId="9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2" fillId="0" borderId="0"/>
    <xf numFmtId="0" fontId="5" fillId="0" borderId="0"/>
    <xf numFmtId="165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3" fillId="0" borderId="0"/>
    <xf numFmtId="0" fontId="1" fillId="0" borderId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</cellStyleXfs>
  <cellXfs count="82">
    <xf numFmtId="0" fontId="0" fillId="0" borderId="0" xfId="0"/>
    <xf numFmtId="3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right" vertical="center"/>
    </xf>
    <xf numFmtId="3" fontId="6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/>
    <xf numFmtId="0" fontId="7" fillId="0" borderId="1" xfId="0" applyFont="1" applyFill="1" applyBorder="1" applyAlignment="1"/>
    <xf numFmtId="0" fontId="6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/>
    </xf>
    <xf numFmtId="0" fontId="14" fillId="0" borderId="0" xfId="0" applyFont="1" applyFill="1" applyAlignment="1"/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0" fillId="0" borderId="1" xfId="0" applyFont="1" applyFill="1" applyBorder="1"/>
    <xf numFmtId="0" fontId="10" fillId="0" borderId="0" xfId="0" applyFont="1" applyFill="1"/>
    <xf numFmtId="0" fontId="7" fillId="0" borderId="0" xfId="0" applyFont="1" applyFill="1" applyBorder="1" applyAlignment="1"/>
    <xf numFmtId="0" fontId="6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0" fontId="14" fillId="0" borderId="0" xfId="7" applyNumberFormat="1" applyFont="1" applyFill="1" applyAlignment="1"/>
    <xf numFmtId="0" fontId="22" fillId="0" borderId="0" xfId="0" applyFont="1" applyFill="1" applyAlignment="1">
      <alignment horizontal="center" vertical="center"/>
    </xf>
    <xf numFmtId="3" fontId="7" fillId="0" borderId="0" xfId="0" applyNumberFormat="1" applyFont="1" applyFill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21" fillId="0" borderId="0" xfId="0" applyFont="1" applyFill="1"/>
    <xf numFmtId="0" fontId="0" fillId="0" borderId="0" xfId="0" applyFill="1"/>
    <xf numFmtId="0" fontId="0" fillId="0" borderId="0" xfId="0" applyFill="1" applyAlignment="1">
      <alignment wrapText="1"/>
    </xf>
    <xf numFmtId="0" fontId="16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center" wrapText="1"/>
    </xf>
    <xf numFmtId="0" fontId="19" fillId="0" borderId="0" xfId="0" applyFont="1" applyFill="1"/>
    <xf numFmtId="0" fontId="7" fillId="0" borderId="0" xfId="0" applyFont="1" applyFill="1" applyBorder="1" applyAlignment="1">
      <alignment vertical="center"/>
    </xf>
    <xf numFmtId="10" fontId="7" fillId="0" borderId="1" xfId="7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right" vertical="center"/>
    </xf>
    <xf numFmtId="0" fontId="11" fillId="0" borderId="0" xfId="0" applyFont="1" applyFill="1"/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16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 wrapText="1"/>
    </xf>
    <xf numFmtId="167" fontId="7" fillId="0" borderId="0" xfId="0" applyNumberFormat="1" applyFont="1" applyFill="1" applyBorder="1" applyAlignment="1">
      <alignment horizontal="center" vertical="center"/>
    </xf>
    <xf numFmtId="10" fontId="7" fillId="0" borderId="0" xfId="7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/>
    <xf numFmtId="0" fontId="14" fillId="0" borderId="0" xfId="0" applyFont="1" applyFill="1" applyBorder="1" applyAlignment="1"/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21" fillId="0" borderId="0" xfId="0" applyFont="1" applyFill="1" applyBorder="1"/>
    <xf numFmtId="3" fontId="11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/>
    <xf numFmtId="0" fontId="24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10" fontId="24" fillId="0" borderId="0" xfId="7" applyNumberFormat="1" applyFont="1" applyFill="1" applyAlignment="1"/>
    <xf numFmtId="167" fontId="7" fillId="0" borderId="1" xfId="0" applyNumberFormat="1" applyFont="1" applyFill="1" applyBorder="1" applyAlignment="1">
      <alignment horizontal="center" vertical="center"/>
    </xf>
    <xf numFmtId="10" fontId="7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23" fillId="0" borderId="1" xfId="1" applyNumberFormat="1" applyFont="1" applyFill="1" applyBorder="1" applyAlignment="1" applyProtection="1">
      <alignment horizontal="justify" vertical="center" wrapText="1"/>
    </xf>
    <xf numFmtId="3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</cellXfs>
  <cellStyles count="19">
    <cellStyle name="S4" xfId="3"/>
    <cellStyle name="Обычный" xfId="0" builtinId="0"/>
    <cellStyle name="Обычный 10 2 2" xfId="14"/>
    <cellStyle name="Обычный 2" xfId="11"/>
    <cellStyle name="Обычный 3" xfId="2"/>
    <cellStyle name="Обычный 3 2" xfId="1"/>
    <cellStyle name="Обычный 3 2 2 2 2" xfId="5"/>
    <cellStyle name="Обычный 3 2 2 5" xfId="15"/>
    <cellStyle name="Обычный 4" xfId="6"/>
    <cellStyle name="Процентный" xfId="7" builtinId="5"/>
    <cellStyle name="Процентный 2" xfId="13"/>
    <cellStyle name="Стиль 1" xfId="10"/>
    <cellStyle name="Финансовый 2" xfId="4"/>
    <cellStyle name="Финансовый 3" xfId="16"/>
    <cellStyle name="Финансовый 3 2" xfId="17"/>
    <cellStyle name="Финансовый 3 2 4" xfId="18"/>
    <cellStyle name="Финансовый 4" xfId="12"/>
    <cellStyle name="Финансовый 66" xfId="9"/>
    <cellStyle name="Финансовый 66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48460"/>
  <sheetViews>
    <sheetView tabSelected="1" view="pageBreakPreview" topLeftCell="B1" zoomScale="80" zoomScaleNormal="100" zoomScaleSheetLayoutView="80" zoomScalePageLayoutView="70" workbookViewId="0">
      <pane ySplit="11" topLeftCell="A12" activePane="bottomLeft" state="frozen"/>
      <selection pane="bottomLeft" activeCell="E4" sqref="E4"/>
    </sheetView>
  </sheetViews>
  <sheetFormatPr defaultRowHeight="15.75" outlineLevelRow="1" x14ac:dyDescent="0.25"/>
  <cols>
    <col min="1" max="1" width="2.140625" style="4" hidden="1" customWidth="1"/>
    <col min="2" max="2" width="7.5703125" style="4" customWidth="1"/>
    <col min="3" max="3" width="82.7109375" style="24" customWidth="1"/>
    <col min="4" max="4" width="15.140625" style="8" customWidth="1"/>
    <col min="5" max="5" width="50.28515625" style="8" customWidth="1"/>
    <col min="6" max="6" width="44.28515625" style="8" customWidth="1"/>
    <col min="7" max="7" width="23.85546875" style="4" customWidth="1"/>
    <col min="8" max="8" width="22.7109375" style="4" customWidth="1"/>
    <col min="9" max="9" width="27.5703125" style="8" customWidth="1"/>
    <col min="10" max="10" width="28.7109375" style="4" customWidth="1"/>
    <col min="11" max="11" width="28.140625" style="4" customWidth="1"/>
    <col min="12" max="12" width="29.7109375" style="4" customWidth="1"/>
    <col min="13" max="13" width="28.85546875" style="4" customWidth="1"/>
    <col min="14" max="14" width="27.5703125" style="4" customWidth="1"/>
    <col min="15" max="16384" width="9.140625" style="4"/>
  </cols>
  <sheetData>
    <row r="1" spans="2:16" outlineLevel="1" x14ac:dyDescent="0.25">
      <c r="B1" s="16"/>
      <c r="C1" s="32"/>
      <c r="K1" s="76"/>
      <c r="L1" s="76"/>
      <c r="M1" s="77"/>
      <c r="N1" s="77"/>
    </row>
    <row r="2" spans="2:16" s="8" customFormat="1" ht="18.75" outlineLevel="1" x14ac:dyDescent="0.25">
      <c r="B2" s="17"/>
      <c r="C2" s="19"/>
      <c r="G2" s="12" t="s">
        <v>12</v>
      </c>
      <c r="H2" s="6"/>
      <c r="N2" s="22"/>
      <c r="P2" s="9"/>
    </row>
    <row r="3" spans="2:16" s="8" customFormat="1" ht="18.75" outlineLevel="1" x14ac:dyDescent="0.25">
      <c r="B3" s="17"/>
      <c r="C3" s="19"/>
      <c r="G3" s="12" t="s">
        <v>188</v>
      </c>
      <c r="H3" s="6"/>
      <c r="N3" s="22"/>
      <c r="P3" s="9"/>
    </row>
    <row r="4" spans="2:16" s="8" customFormat="1" ht="18.75" outlineLevel="1" x14ac:dyDescent="0.25">
      <c r="B4" s="17"/>
      <c r="C4" s="19"/>
      <c r="D4" s="19"/>
      <c r="E4" s="19"/>
      <c r="G4" s="21" t="s">
        <v>0</v>
      </c>
      <c r="H4" s="7"/>
      <c r="M4" s="19"/>
      <c r="P4" s="9"/>
    </row>
    <row r="5" spans="2:16" s="8" customFormat="1" ht="18.75" outlineLevel="1" x14ac:dyDescent="0.25">
      <c r="B5" s="17"/>
      <c r="C5" s="37"/>
      <c r="D5" s="19"/>
      <c r="E5" s="19"/>
      <c r="G5" s="13" t="s">
        <v>7</v>
      </c>
      <c r="J5" s="22"/>
      <c r="K5" s="22"/>
      <c r="N5" s="22"/>
      <c r="P5" s="9"/>
    </row>
    <row r="6" spans="2:16" s="8" customFormat="1" ht="18.75" outlineLevel="1" x14ac:dyDescent="0.25">
      <c r="B6" s="17"/>
      <c r="C6" s="37"/>
      <c r="D6" s="19"/>
      <c r="E6" s="19"/>
      <c r="G6" s="21" t="s">
        <v>1</v>
      </c>
      <c r="H6" s="7"/>
      <c r="M6" s="22"/>
      <c r="P6" s="9"/>
    </row>
    <row r="7" spans="2:16" s="8" customFormat="1" ht="18.75" outlineLevel="1" x14ac:dyDescent="0.25">
      <c r="B7" s="17"/>
      <c r="C7" s="19"/>
      <c r="G7" s="13" t="s">
        <v>4</v>
      </c>
      <c r="J7" s="22"/>
      <c r="K7" s="22"/>
      <c r="P7" s="9"/>
    </row>
    <row r="8" spans="2:16" ht="26.25" customHeight="1" x14ac:dyDescent="0.25">
      <c r="B8" s="75" t="s">
        <v>18</v>
      </c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</row>
    <row r="9" spans="2:16" ht="62.25" customHeight="1" x14ac:dyDescent="0.25">
      <c r="B9" s="75" t="s">
        <v>2</v>
      </c>
      <c r="C9" s="75" t="s">
        <v>3</v>
      </c>
      <c r="D9" s="75" t="s">
        <v>8</v>
      </c>
      <c r="E9" s="75" t="s">
        <v>22</v>
      </c>
      <c r="F9" s="75"/>
      <c r="G9" s="75" t="s">
        <v>19</v>
      </c>
      <c r="H9" s="75"/>
      <c r="I9" s="75" t="s">
        <v>28</v>
      </c>
      <c r="J9" s="75"/>
      <c r="K9" s="75" t="s">
        <v>29</v>
      </c>
      <c r="L9" s="75"/>
      <c r="M9" s="75" t="s">
        <v>11</v>
      </c>
      <c r="N9" s="75"/>
    </row>
    <row r="10" spans="2:16" ht="15.75" customHeight="1" x14ac:dyDescent="0.25">
      <c r="B10" s="75"/>
      <c r="C10" s="75"/>
      <c r="D10" s="75"/>
      <c r="E10" s="78" t="s">
        <v>13</v>
      </c>
      <c r="F10" s="78" t="s">
        <v>14</v>
      </c>
      <c r="G10" s="78" t="s">
        <v>13</v>
      </c>
      <c r="H10" s="78" t="s">
        <v>14</v>
      </c>
      <c r="I10" s="75" t="s">
        <v>13</v>
      </c>
      <c r="J10" s="75" t="s">
        <v>14</v>
      </c>
      <c r="K10" s="75" t="s">
        <v>13</v>
      </c>
      <c r="L10" s="75" t="s">
        <v>14</v>
      </c>
      <c r="M10" s="75" t="s">
        <v>13</v>
      </c>
      <c r="N10" s="75" t="s">
        <v>14</v>
      </c>
    </row>
    <row r="11" spans="2:16" ht="15.75" customHeight="1" x14ac:dyDescent="0.25">
      <c r="B11" s="75"/>
      <c r="C11" s="75"/>
      <c r="D11" s="75"/>
      <c r="E11" s="78"/>
      <c r="F11" s="78"/>
      <c r="G11" s="78"/>
      <c r="H11" s="78"/>
      <c r="I11" s="75"/>
      <c r="J11" s="75"/>
      <c r="K11" s="75"/>
      <c r="L11" s="75"/>
      <c r="M11" s="75"/>
      <c r="N11" s="75"/>
    </row>
    <row r="12" spans="2:16" x14ac:dyDescent="0.25">
      <c r="B12" s="18">
        <v>1</v>
      </c>
      <c r="C12" s="18">
        <v>2</v>
      </c>
      <c r="D12" s="68">
        <v>3</v>
      </c>
      <c r="E12" s="68">
        <v>4</v>
      </c>
      <c r="F12" s="18">
        <v>5</v>
      </c>
      <c r="G12" s="18">
        <v>6</v>
      </c>
      <c r="H12" s="18">
        <v>7</v>
      </c>
      <c r="I12" s="18">
        <v>8</v>
      </c>
      <c r="J12" s="18">
        <v>9</v>
      </c>
      <c r="K12" s="18">
        <v>10</v>
      </c>
      <c r="L12" s="18">
        <v>11</v>
      </c>
      <c r="M12" s="18">
        <v>12</v>
      </c>
      <c r="N12" s="18">
        <v>13</v>
      </c>
    </row>
    <row r="13" spans="2:16" ht="21.75" customHeight="1" x14ac:dyDescent="0.25">
      <c r="B13" s="68"/>
      <c r="C13" s="60" t="s">
        <v>31</v>
      </c>
      <c r="D13" s="68"/>
      <c r="E13" s="68"/>
      <c r="F13" s="68"/>
      <c r="G13" s="18"/>
      <c r="H13" s="3"/>
      <c r="I13" s="18"/>
      <c r="J13" s="18"/>
      <c r="K13" s="18"/>
      <c r="L13" s="18"/>
      <c r="M13" s="18"/>
      <c r="N13" s="18"/>
    </row>
    <row r="14" spans="2:16" ht="21.75" customHeight="1" x14ac:dyDescent="0.25">
      <c r="B14" s="2"/>
      <c r="C14" s="61" t="s">
        <v>32</v>
      </c>
      <c r="D14" s="68"/>
      <c r="E14" s="68"/>
      <c r="F14" s="68"/>
      <c r="G14" s="3">
        <f>G15+G81+G104+G105+G106</f>
        <v>13121460.051119469</v>
      </c>
      <c r="H14" s="3">
        <f>H15+H81+H104+H105+H106</f>
        <v>6934963.6332899993</v>
      </c>
      <c r="I14" s="3">
        <f t="shared" ref="I14:N14" si="0">I15+I81+I104+I105+I106</f>
        <v>10202789.156532327</v>
      </c>
      <c r="J14" s="3">
        <f t="shared" si="0"/>
        <v>4534963.6332900003</v>
      </c>
      <c r="K14" s="3">
        <f t="shared" si="0"/>
        <v>2400000</v>
      </c>
      <c r="L14" s="3">
        <f t="shared" si="0"/>
        <v>2400000</v>
      </c>
      <c r="M14" s="3">
        <f t="shared" si="0"/>
        <v>518670.89458714402</v>
      </c>
      <c r="N14" s="3">
        <f t="shared" si="0"/>
        <v>0</v>
      </c>
    </row>
    <row r="15" spans="2:16" ht="23.25" customHeight="1" x14ac:dyDescent="0.25">
      <c r="B15" s="5"/>
      <c r="C15" s="60" t="s">
        <v>25</v>
      </c>
      <c r="D15" s="68"/>
      <c r="E15" s="68"/>
      <c r="F15" s="68"/>
      <c r="G15" s="3">
        <f>G16+G17+G18+G19+G48+G49+G50+G51+G52+G53+G54+G55+G56+G57+G58+G61+G62+G63+G64+G65+G66+G67+G68+G69+G70+G71+G72+G73+G74+G75+G76</f>
        <v>10692874.551997691</v>
      </c>
      <c r="H15" s="3">
        <f t="shared" ref="H15:N15" si="1">H16+H17+H18+H19+H48+H49+H50+H51+H52+H53+H54+H55+H56+H57+H58+H61+H62+H63+H64+H65+H66+H67+H68+H69+H70+H71+H72+H73+H74+H75+H76</f>
        <v>5798492.5882399995</v>
      </c>
      <c r="I15" s="3">
        <f t="shared" si="1"/>
        <v>7774203.6574105481</v>
      </c>
      <c r="J15" s="3">
        <f>J16+J17+J18+J19+J48+J49+J50+J51+J52+J53+J54+J55+J56+J57+J58+J61+J62+J63+J64+J65+J66+J67+J68+J69+J70+J71+J72+J73+J74+J75+J76</f>
        <v>3398492.58824</v>
      </c>
      <c r="K15" s="3">
        <f t="shared" si="1"/>
        <v>2400000</v>
      </c>
      <c r="L15" s="3">
        <f t="shared" si="1"/>
        <v>2400000</v>
      </c>
      <c r="M15" s="3">
        <f t="shared" si="1"/>
        <v>518670.89458714402</v>
      </c>
      <c r="N15" s="3">
        <f t="shared" si="1"/>
        <v>0</v>
      </c>
    </row>
    <row r="16" spans="2:16" ht="47.25" x14ac:dyDescent="0.25">
      <c r="B16" s="68">
        <v>1</v>
      </c>
      <c r="C16" s="23" t="s">
        <v>113</v>
      </c>
      <c r="D16" s="52" t="s">
        <v>146</v>
      </c>
      <c r="E16" s="52" t="s">
        <v>147</v>
      </c>
      <c r="F16" s="68"/>
      <c r="G16" s="3">
        <f>I16+K16+M16</f>
        <v>518670.89458714402</v>
      </c>
      <c r="H16" s="3">
        <f>J16+L16+N16</f>
        <v>0</v>
      </c>
      <c r="I16" s="3"/>
      <c r="J16" s="3"/>
      <c r="K16" s="1"/>
      <c r="L16" s="3"/>
      <c r="M16" s="1">
        <v>518670.89458714402</v>
      </c>
      <c r="N16" s="3"/>
    </row>
    <row r="17" spans="2:14" ht="47.25" x14ac:dyDescent="0.25">
      <c r="B17" s="68">
        <v>2</v>
      </c>
      <c r="C17" s="23" t="s">
        <v>114</v>
      </c>
      <c r="D17" s="68" t="s">
        <v>35</v>
      </c>
      <c r="E17" s="68">
        <v>1</v>
      </c>
      <c r="F17" s="68"/>
      <c r="G17" s="3">
        <f t="shared" ref="G17:G80" si="2">I17+K17+M17</f>
        <v>21945</v>
      </c>
      <c r="H17" s="3">
        <f t="shared" ref="H17:H80" si="3">J17+L17+N17</f>
        <v>0</v>
      </c>
      <c r="I17" s="1">
        <v>21945</v>
      </c>
      <c r="J17" s="3"/>
      <c r="K17" s="3"/>
      <c r="L17" s="3"/>
      <c r="M17" s="3"/>
      <c r="N17" s="3"/>
    </row>
    <row r="18" spans="2:14" ht="47.25" x14ac:dyDescent="0.25">
      <c r="B18" s="68">
        <v>3</v>
      </c>
      <c r="C18" s="23" t="s">
        <v>115</v>
      </c>
      <c r="D18" s="52" t="s">
        <v>148</v>
      </c>
      <c r="E18" s="52" t="s">
        <v>149</v>
      </c>
      <c r="F18" s="66" t="s">
        <v>189</v>
      </c>
      <c r="G18" s="3">
        <f t="shared" si="2"/>
        <v>1399879.18445893</v>
      </c>
      <c r="H18" s="3">
        <f t="shared" si="3"/>
        <v>88981.161609999981</v>
      </c>
      <c r="I18" s="1">
        <v>1399879.18445893</v>
      </c>
      <c r="J18" s="1">
        <f>(72091666.07+16889495.54)/1000</f>
        <v>88981.161609999981</v>
      </c>
      <c r="K18" s="3"/>
      <c r="L18" s="3"/>
      <c r="M18" s="3"/>
      <c r="N18" s="3"/>
    </row>
    <row r="19" spans="2:14" ht="58.5" customHeight="1" x14ac:dyDescent="0.25">
      <c r="B19" s="68">
        <v>4</v>
      </c>
      <c r="C19" s="23" t="s">
        <v>33</v>
      </c>
      <c r="D19" s="53" t="s">
        <v>150</v>
      </c>
      <c r="E19" s="52" t="s">
        <v>151</v>
      </c>
      <c r="F19" s="68">
        <v>5</v>
      </c>
      <c r="G19" s="3">
        <f t="shared" si="2"/>
        <v>151468.26761714314</v>
      </c>
      <c r="H19" s="3">
        <f t="shared" si="3"/>
        <v>41121.38394</v>
      </c>
      <c r="I19" s="1">
        <f>SUM(I20:I47)</f>
        <v>151468.26761714314</v>
      </c>
      <c r="J19" s="1">
        <f>SUM(J20:J47)</f>
        <v>41121.38394</v>
      </c>
      <c r="K19" s="1"/>
      <c r="L19" s="1"/>
      <c r="M19" s="10"/>
      <c r="N19" s="1"/>
    </row>
    <row r="20" spans="2:14" ht="21.75" customHeight="1" x14ac:dyDescent="0.25">
      <c r="B20" s="74" t="s">
        <v>116</v>
      </c>
      <c r="C20" s="62" t="s">
        <v>50</v>
      </c>
      <c r="D20" s="68" t="s">
        <v>9</v>
      </c>
      <c r="E20" s="68">
        <v>1</v>
      </c>
      <c r="F20" s="68"/>
      <c r="G20" s="3">
        <f t="shared" si="2"/>
        <v>527</v>
      </c>
      <c r="H20" s="3">
        <f t="shared" si="3"/>
        <v>0</v>
      </c>
      <c r="I20" s="1">
        <v>527</v>
      </c>
      <c r="J20" s="1"/>
      <c r="K20" s="1"/>
      <c r="L20" s="1"/>
      <c r="M20" s="10"/>
      <c r="N20" s="1"/>
    </row>
    <row r="21" spans="2:14" ht="37.5" customHeight="1" x14ac:dyDescent="0.25">
      <c r="B21" s="74"/>
      <c r="C21" s="62" t="s">
        <v>51</v>
      </c>
      <c r="D21" s="68" t="s">
        <v>132</v>
      </c>
      <c r="E21" s="68">
        <v>1</v>
      </c>
      <c r="F21" s="68"/>
      <c r="G21" s="3">
        <f t="shared" si="2"/>
        <v>241.04599999999999</v>
      </c>
      <c r="H21" s="3">
        <f t="shared" si="3"/>
        <v>0</v>
      </c>
      <c r="I21" s="1">
        <v>241.04599999999999</v>
      </c>
      <c r="J21" s="1"/>
      <c r="K21" s="1"/>
      <c r="L21" s="1"/>
      <c r="M21" s="10"/>
      <c r="N21" s="1"/>
    </row>
    <row r="22" spans="2:14" ht="33.75" customHeight="1" x14ac:dyDescent="0.25">
      <c r="B22" s="74" t="s">
        <v>117</v>
      </c>
      <c r="C22" s="62" t="s">
        <v>45</v>
      </c>
      <c r="D22" s="68" t="s">
        <v>9</v>
      </c>
      <c r="E22" s="68">
        <v>1</v>
      </c>
      <c r="F22" s="68">
        <v>1</v>
      </c>
      <c r="G22" s="3">
        <f t="shared" si="2"/>
        <v>12627.513513214286</v>
      </c>
      <c r="H22" s="3">
        <f t="shared" si="3"/>
        <v>8424.7745299999988</v>
      </c>
      <c r="I22" s="1">
        <v>12627.513513214286</v>
      </c>
      <c r="J22" s="1">
        <f>8424774.53/1000</f>
        <v>8424.7745299999988</v>
      </c>
      <c r="K22" s="1"/>
      <c r="L22" s="1"/>
      <c r="M22" s="10"/>
      <c r="N22" s="1"/>
    </row>
    <row r="23" spans="2:14" ht="49.5" customHeight="1" x14ac:dyDescent="0.25">
      <c r="B23" s="74"/>
      <c r="C23" s="62" t="s">
        <v>52</v>
      </c>
      <c r="D23" s="68" t="s">
        <v>132</v>
      </c>
      <c r="E23" s="68">
        <v>1</v>
      </c>
      <c r="F23" s="68"/>
      <c r="G23" s="3">
        <f t="shared" si="2"/>
        <v>1447</v>
      </c>
      <c r="H23" s="3">
        <f t="shared" si="3"/>
        <v>0</v>
      </c>
      <c r="I23" s="1">
        <v>1447</v>
      </c>
      <c r="J23" s="1"/>
      <c r="K23" s="1"/>
      <c r="L23" s="1"/>
      <c r="M23" s="10"/>
      <c r="N23" s="1"/>
    </row>
    <row r="24" spans="2:14" ht="36" customHeight="1" x14ac:dyDescent="0.25">
      <c r="B24" s="74" t="s">
        <v>118</v>
      </c>
      <c r="C24" s="62" t="s">
        <v>48</v>
      </c>
      <c r="D24" s="68" t="s">
        <v>9</v>
      </c>
      <c r="E24" s="68">
        <v>1</v>
      </c>
      <c r="F24" s="68">
        <v>1</v>
      </c>
      <c r="G24" s="3">
        <f t="shared" si="2"/>
        <v>11841.591416785714</v>
      </c>
      <c r="H24" s="3">
        <f t="shared" si="3"/>
        <v>9326.4014499999994</v>
      </c>
      <c r="I24" s="1">
        <v>11841.591416785714</v>
      </c>
      <c r="J24" s="1">
        <f>9326401.45/1000</f>
        <v>9326.4014499999994</v>
      </c>
      <c r="K24" s="1"/>
      <c r="L24" s="1"/>
      <c r="M24" s="10"/>
      <c r="N24" s="1"/>
    </row>
    <row r="25" spans="2:14" ht="45" x14ac:dyDescent="0.25">
      <c r="B25" s="74"/>
      <c r="C25" s="62" t="s">
        <v>53</v>
      </c>
      <c r="D25" s="68" t="s">
        <v>132</v>
      </c>
      <c r="E25" s="68">
        <v>1</v>
      </c>
      <c r="F25" s="68"/>
      <c r="G25" s="3">
        <f t="shared" si="2"/>
        <v>1288</v>
      </c>
      <c r="H25" s="3">
        <f t="shared" si="3"/>
        <v>0</v>
      </c>
      <c r="I25" s="1">
        <v>1288</v>
      </c>
      <c r="J25" s="1"/>
      <c r="K25" s="1"/>
      <c r="L25" s="1"/>
      <c r="M25" s="10"/>
      <c r="N25" s="1"/>
    </row>
    <row r="26" spans="2:14" ht="33" customHeight="1" x14ac:dyDescent="0.25">
      <c r="B26" s="74" t="s">
        <v>119</v>
      </c>
      <c r="C26" s="62" t="s">
        <v>46</v>
      </c>
      <c r="D26" s="68" t="s">
        <v>9</v>
      </c>
      <c r="E26" s="68">
        <v>1</v>
      </c>
      <c r="F26" s="68">
        <v>1</v>
      </c>
      <c r="G26" s="3">
        <f t="shared" si="2"/>
        <v>4704.7366782142853</v>
      </c>
      <c r="H26" s="3">
        <f t="shared" si="3"/>
        <v>4182.5901000000003</v>
      </c>
      <c r="I26" s="1">
        <v>4704.7366782142853</v>
      </c>
      <c r="J26" s="1">
        <f>4182590.1/1000</f>
        <v>4182.5901000000003</v>
      </c>
      <c r="K26" s="1"/>
      <c r="L26" s="1"/>
      <c r="M26" s="10"/>
      <c r="N26" s="1"/>
    </row>
    <row r="27" spans="2:14" ht="58.5" customHeight="1" x14ac:dyDescent="0.25">
      <c r="B27" s="74"/>
      <c r="C27" s="62" t="s">
        <v>54</v>
      </c>
      <c r="D27" s="68" t="s">
        <v>132</v>
      </c>
      <c r="E27" s="68">
        <v>1</v>
      </c>
      <c r="F27" s="68"/>
      <c r="G27" s="3">
        <f t="shared" si="2"/>
        <v>284</v>
      </c>
      <c r="H27" s="3">
        <f t="shared" si="3"/>
        <v>0</v>
      </c>
      <c r="I27" s="1">
        <v>284</v>
      </c>
      <c r="J27" s="1"/>
      <c r="K27" s="1"/>
      <c r="L27" s="1"/>
      <c r="M27" s="10"/>
      <c r="N27" s="1"/>
    </row>
    <row r="28" spans="2:14" ht="23.25" customHeight="1" x14ac:dyDescent="0.25">
      <c r="B28" s="74" t="s">
        <v>120</v>
      </c>
      <c r="C28" s="62" t="s">
        <v>55</v>
      </c>
      <c r="D28" s="68" t="s">
        <v>9</v>
      </c>
      <c r="E28" s="68">
        <v>1</v>
      </c>
      <c r="F28" s="68"/>
      <c r="G28" s="3">
        <f t="shared" si="2"/>
        <v>6950.6431217857134</v>
      </c>
      <c r="H28" s="3">
        <f t="shared" si="3"/>
        <v>5259.6442300000008</v>
      </c>
      <c r="I28" s="1">
        <v>6950.6431217857134</v>
      </c>
      <c r="J28" s="1">
        <f>5259644.23/1000</f>
        <v>5259.6442300000008</v>
      </c>
      <c r="K28" s="1"/>
      <c r="L28" s="1"/>
      <c r="M28" s="10"/>
      <c r="N28" s="1"/>
    </row>
    <row r="29" spans="2:14" ht="48" customHeight="1" x14ac:dyDescent="0.25">
      <c r="B29" s="74"/>
      <c r="C29" s="62" t="s">
        <v>56</v>
      </c>
      <c r="D29" s="68" t="s">
        <v>132</v>
      </c>
      <c r="E29" s="68">
        <v>1</v>
      </c>
      <c r="F29" s="68"/>
      <c r="G29" s="3">
        <f t="shared" si="2"/>
        <v>1090</v>
      </c>
      <c r="H29" s="3">
        <f t="shared" si="3"/>
        <v>0</v>
      </c>
      <c r="I29" s="1">
        <v>1090</v>
      </c>
      <c r="J29" s="1"/>
      <c r="K29" s="1"/>
      <c r="L29" s="1"/>
      <c r="M29" s="10"/>
      <c r="N29" s="1"/>
    </row>
    <row r="30" spans="2:14" ht="23.25" customHeight="1" x14ac:dyDescent="0.25">
      <c r="B30" s="74" t="s">
        <v>121</v>
      </c>
      <c r="C30" s="62" t="s">
        <v>47</v>
      </c>
      <c r="D30" s="68" t="s">
        <v>9</v>
      </c>
      <c r="E30" s="68">
        <v>1</v>
      </c>
      <c r="F30" s="68">
        <v>1</v>
      </c>
      <c r="G30" s="3">
        <f t="shared" si="2"/>
        <v>7924.9466410714285</v>
      </c>
      <c r="H30" s="3">
        <f t="shared" si="3"/>
        <v>5383.7683499999994</v>
      </c>
      <c r="I30" s="1">
        <v>7924.9466410714285</v>
      </c>
      <c r="J30" s="1">
        <f>5383768.35/1000</f>
        <v>5383.7683499999994</v>
      </c>
      <c r="K30" s="1"/>
      <c r="L30" s="1"/>
      <c r="M30" s="10"/>
      <c r="N30" s="1"/>
    </row>
    <row r="31" spans="2:14" ht="36.75" customHeight="1" x14ac:dyDescent="0.25">
      <c r="B31" s="74"/>
      <c r="C31" s="62" t="s">
        <v>57</v>
      </c>
      <c r="D31" s="68" t="s">
        <v>132</v>
      </c>
      <c r="E31" s="68">
        <v>1</v>
      </c>
      <c r="F31" s="68"/>
      <c r="G31" s="3">
        <f t="shared" si="2"/>
        <v>293.45</v>
      </c>
      <c r="H31" s="3">
        <f t="shared" si="3"/>
        <v>0</v>
      </c>
      <c r="I31" s="1">
        <v>293.45</v>
      </c>
      <c r="J31" s="1"/>
      <c r="K31" s="1"/>
      <c r="L31" s="1"/>
      <c r="M31" s="10"/>
      <c r="N31" s="1"/>
    </row>
    <row r="32" spans="2:14" ht="36" customHeight="1" x14ac:dyDescent="0.25">
      <c r="B32" s="74" t="s">
        <v>122</v>
      </c>
      <c r="C32" s="62" t="s">
        <v>49</v>
      </c>
      <c r="D32" s="68" t="s">
        <v>9</v>
      </c>
      <c r="E32" s="68">
        <v>1</v>
      </c>
      <c r="F32" s="68">
        <v>1</v>
      </c>
      <c r="G32" s="3">
        <f t="shared" si="2"/>
        <v>9410.2631999999976</v>
      </c>
      <c r="H32" s="3">
        <f t="shared" si="3"/>
        <v>8544.2052800000001</v>
      </c>
      <c r="I32" s="1">
        <v>9410.2631999999976</v>
      </c>
      <c r="J32" s="1">
        <f>8544205.28/1000</f>
        <v>8544.2052800000001</v>
      </c>
      <c r="K32" s="1"/>
      <c r="L32" s="1"/>
      <c r="M32" s="10"/>
      <c r="N32" s="1"/>
    </row>
    <row r="33" spans="2:14" ht="45" x14ac:dyDescent="0.25">
      <c r="B33" s="74"/>
      <c r="C33" s="62" t="s">
        <v>58</v>
      </c>
      <c r="D33" s="68" t="s">
        <v>132</v>
      </c>
      <c r="E33" s="68">
        <v>1</v>
      </c>
      <c r="F33" s="68"/>
      <c r="G33" s="3">
        <f t="shared" si="2"/>
        <v>1204</v>
      </c>
      <c r="H33" s="3">
        <f t="shared" si="3"/>
        <v>0</v>
      </c>
      <c r="I33" s="1">
        <v>1204</v>
      </c>
      <c r="J33" s="1"/>
      <c r="K33" s="1"/>
      <c r="L33" s="1"/>
      <c r="M33" s="10"/>
      <c r="N33" s="1"/>
    </row>
    <row r="34" spans="2:14" ht="58.5" customHeight="1" x14ac:dyDescent="0.25">
      <c r="B34" s="74" t="s">
        <v>123</v>
      </c>
      <c r="C34" s="62" t="s">
        <v>59</v>
      </c>
      <c r="D34" s="68" t="s">
        <v>9</v>
      </c>
      <c r="E34" s="68">
        <v>1</v>
      </c>
      <c r="F34" s="68"/>
      <c r="G34" s="3">
        <f t="shared" si="2"/>
        <v>390.48517607142855</v>
      </c>
      <c r="H34" s="3">
        <f t="shared" si="3"/>
        <v>0</v>
      </c>
      <c r="I34" s="1">
        <v>390.48517607142855</v>
      </c>
      <c r="J34" s="1"/>
      <c r="K34" s="1"/>
      <c r="L34" s="1"/>
      <c r="M34" s="10"/>
      <c r="N34" s="1"/>
    </row>
    <row r="35" spans="2:14" ht="58.5" customHeight="1" x14ac:dyDescent="0.25">
      <c r="B35" s="74"/>
      <c r="C35" s="62" t="s">
        <v>60</v>
      </c>
      <c r="D35" s="68" t="s">
        <v>132</v>
      </c>
      <c r="E35" s="68">
        <v>1</v>
      </c>
      <c r="F35" s="68"/>
      <c r="G35" s="3">
        <f t="shared" si="2"/>
        <v>134.94999999999999</v>
      </c>
      <c r="H35" s="3">
        <f t="shared" si="3"/>
        <v>0</v>
      </c>
      <c r="I35" s="1">
        <v>134.94999999999999</v>
      </c>
      <c r="J35" s="1"/>
      <c r="K35" s="1"/>
      <c r="L35" s="1"/>
      <c r="M35" s="10"/>
      <c r="N35" s="1"/>
    </row>
    <row r="36" spans="2:14" ht="58.5" customHeight="1" x14ac:dyDescent="0.25">
      <c r="B36" s="74" t="s">
        <v>124</v>
      </c>
      <c r="C36" s="62" t="s">
        <v>61</v>
      </c>
      <c r="D36" s="68" t="s">
        <v>9</v>
      </c>
      <c r="E36" s="68">
        <v>1</v>
      </c>
      <c r="F36" s="68"/>
      <c r="G36" s="3">
        <f t="shared" si="2"/>
        <v>575.31475</v>
      </c>
      <c r="H36" s="3">
        <f t="shared" si="3"/>
        <v>0</v>
      </c>
      <c r="I36" s="1">
        <v>575.31475</v>
      </c>
      <c r="J36" s="1"/>
      <c r="K36" s="1"/>
      <c r="L36" s="1"/>
      <c r="M36" s="10"/>
      <c r="N36" s="1"/>
    </row>
    <row r="37" spans="2:14" ht="63" customHeight="1" x14ac:dyDescent="0.25">
      <c r="B37" s="74"/>
      <c r="C37" s="62" t="s">
        <v>62</v>
      </c>
      <c r="D37" s="68" t="s">
        <v>132</v>
      </c>
      <c r="E37" s="68">
        <v>1</v>
      </c>
      <c r="F37" s="68"/>
      <c r="G37" s="3">
        <f t="shared" si="2"/>
        <v>198.83</v>
      </c>
      <c r="H37" s="3">
        <f t="shared" si="3"/>
        <v>0</v>
      </c>
      <c r="I37" s="1">
        <v>198.83</v>
      </c>
      <c r="J37" s="1"/>
      <c r="K37" s="1"/>
      <c r="L37" s="1"/>
      <c r="M37" s="10"/>
      <c r="N37" s="1"/>
    </row>
    <row r="38" spans="2:14" ht="58.5" customHeight="1" x14ac:dyDescent="0.25">
      <c r="B38" s="67" t="s">
        <v>125</v>
      </c>
      <c r="C38" s="62" t="s">
        <v>63</v>
      </c>
      <c r="D38" s="68" t="s">
        <v>9</v>
      </c>
      <c r="E38" s="68">
        <v>1</v>
      </c>
      <c r="F38" s="68"/>
      <c r="G38" s="3">
        <f t="shared" si="2"/>
        <v>20000</v>
      </c>
      <c r="H38" s="3">
        <f t="shared" si="3"/>
        <v>0</v>
      </c>
      <c r="I38" s="1">
        <v>20000</v>
      </c>
      <c r="J38" s="1"/>
      <c r="K38" s="1"/>
      <c r="L38" s="1"/>
      <c r="M38" s="10"/>
      <c r="N38" s="1"/>
    </row>
    <row r="39" spans="2:14" ht="58.5" customHeight="1" x14ac:dyDescent="0.25">
      <c r="B39" s="67" t="s">
        <v>126</v>
      </c>
      <c r="C39" s="62" t="s">
        <v>64</v>
      </c>
      <c r="D39" s="68" t="s">
        <v>9</v>
      </c>
      <c r="E39" s="68"/>
      <c r="F39" s="68"/>
      <c r="G39" s="3">
        <f t="shared" si="2"/>
        <v>0</v>
      </c>
      <c r="H39" s="3">
        <f t="shared" si="3"/>
        <v>0</v>
      </c>
      <c r="I39" s="1"/>
      <c r="J39" s="1"/>
      <c r="K39" s="1"/>
      <c r="L39" s="1"/>
      <c r="M39" s="10"/>
      <c r="N39" s="1"/>
    </row>
    <row r="40" spans="2:14" ht="58.5" customHeight="1" x14ac:dyDescent="0.25">
      <c r="B40" s="67" t="s">
        <v>127</v>
      </c>
      <c r="C40" s="62" t="s">
        <v>65</v>
      </c>
      <c r="D40" s="68" t="s">
        <v>9</v>
      </c>
      <c r="E40" s="68"/>
      <c r="F40" s="68"/>
      <c r="G40" s="3">
        <f t="shared" si="2"/>
        <v>0</v>
      </c>
      <c r="H40" s="3">
        <f t="shared" si="3"/>
        <v>0</v>
      </c>
      <c r="I40" s="1"/>
      <c r="J40" s="1"/>
      <c r="K40" s="1"/>
      <c r="L40" s="1"/>
      <c r="M40" s="10"/>
      <c r="N40" s="1"/>
    </row>
    <row r="41" spans="2:14" ht="34.5" customHeight="1" x14ac:dyDescent="0.25">
      <c r="B41" s="74" t="s">
        <v>128</v>
      </c>
      <c r="C41" s="62" t="s">
        <v>66</v>
      </c>
      <c r="D41" s="68" t="s">
        <v>9</v>
      </c>
      <c r="E41" s="68">
        <v>1</v>
      </c>
      <c r="F41" s="68"/>
      <c r="G41" s="3">
        <f t="shared" si="2"/>
        <v>24632.741600000001</v>
      </c>
      <c r="H41" s="3">
        <f t="shared" si="3"/>
        <v>0</v>
      </c>
      <c r="I41" s="1">
        <v>24632.741600000001</v>
      </c>
      <c r="J41" s="1"/>
      <c r="K41" s="1"/>
      <c r="L41" s="1"/>
      <c r="M41" s="10"/>
      <c r="N41" s="1"/>
    </row>
    <row r="42" spans="2:14" ht="48.75" customHeight="1" x14ac:dyDescent="0.25">
      <c r="B42" s="74"/>
      <c r="C42" s="62" t="s">
        <v>67</v>
      </c>
      <c r="D42" s="68" t="s">
        <v>132</v>
      </c>
      <c r="E42" s="68">
        <v>1</v>
      </c>
      <c r="F42" s="68"/>
      <c r="G42" s="3">
        <f t="shared" si="2"/>
        <v>1790.84</v>
      </c>
      <c r="H42" s="3">
        <f t="shared" si="3"/>
        <v>0</v>
      </c>
      <c r="I42" s="1">
        <v>1790.84</v>
      </c>
      <c r="J42" s="1"/>
      <c r="K42" s="1"/>
      <c r="L42" s="1"/>
      <c r="M42" s="10"/>
      <c r="N42" s="1"/>
    </row>
    <row r="43" spans="2:14" ht="45" x14ac:dyDescent="0.25">
      <c r="B43" s="74" t="s">
        <v>129</v>
      </c>
      <c r="C43" s="62" t="s">
        <v>68</v>
      </c>
      <c r="D43" s="68" t="s">
        <v>9</v>
      </c>
      <c r="E43" s="68">
        <v>1</v>
      </c>
      <c r="F43" s="68"/>
      <c r="G43" s="3">
        <f t="shared" si="2"/>
        <v>27034.293989999998</v>
      </c>
      <c r="H43" s="3">
        <f t="shared" si="3"/>
        <v>0</v>
      </c>
      <c r="I43" s="1">
        <v>27034.293989999998</v>
      </c>
      <c r="J43" s="1"/>
      <c r="K43" s="1"/>
      <c r="L43" s="1"/>
      <c r="M43" s="10"/>
      <c r="N43" s="1"/>
    </row>
    <row r="44" spans="2:14" ht="58.5" customHeight="1" x14ac:dyDescent="0.25">
      <c r="B44" s="74"/>
      <c r="C44" s="62" t="s">
        <v>69</v>
      </c>
      <c r="D44" s="68" t="s">
        <v>132</v>
      </c>
      <c r="E44" s="68">
        <v>1</v>
      </c>
      <c r="F44" s="68"/>
      <c r="G44" s="3">
        <f t="shared" si="2"/>
        <v>1864.68</v>
      </c>
      <c r="H44" s="3">
        <f t="shared" si="3"/>
        <v>0</v>
      </c>
      <c r="I44" s="1">
        <v>1864.68</v>
      </c>
      <c r="J44" s="1"/>
      <c r="K44" s="1"/>
      <c r="L44" s="1"/>
      <c r="M44" s="10"/>
      <c r="N44" s="1"/>
    </row>
    <row r="45" spans="2:14" ht="36" customHeight="1" x14ac:dyDescent="0.25">
      <c r="B45" s="74" t="s">
        <v>130</v>
      </c>
      <c r="C45" s="62" t="s">
        <v>70</v>
      </c>
      <c r="D45" s="68" t="s">
        <v>9</v>
      </c>
      <c r="E45" s="68">
        <v>1</v>
      </c>
      <c r="F45" s="68"/>
      <c r="G45" s="3">
        <f t="shared" si="2"/>
        <v>8629.7764299999999</v>
      </c>
      <c r="H45" s="3">
        <f t="shared" si="3"/>
        <v>0</v>
      </c>
      <c r="I45" s="1">
        <v>8629.7764299999999</v>
      </c>
      <c r="J45" s="1"/>
      <c r="K45" s="1"/>
      <c r="L45" s="1"/>
      <c r="M45" s="10"/>
      <c r="N45" s="1"/>
    </row>
    <row r="46" spans="2:14" ht="51.75" customHeight="1" x14ac:dyDescent="0.25">
      <c r="B46" s="74"/>
      <c r="C46" s="62" t="s">
        <v>71</v>
      </c>
      <c r="D46" s="68" t="s">
        <v>132</v>
      </c>
      <c r="E46" s="68">
        <v>1</v>
      </c>
      <c r="F46" s="68"/>
      <c r="G46" s="3">
        <f t="shared" si="2"/>
        <v>2149.299</v>
      </c>
      <c r="H46" s="3">
        <f t="shared" si="3"/>
        <v>0</v>
      </c>
      <c r="I46" s="1">
        <v>2149.299</v>
      </c>
      <c r="J46" s="1"/>
      <c r="K46" s="1"/>
      <c r="L46" s="1"/>
      <c r="M46" s="10"/>
      <c r="N46" s="1"/>
    </row>
    <row r="47" spans="2:14" ht="34.5" customHeight="1" x14ac:dyDescent="0.25">
      <c r="B47" s="67" t="s">
        <v>131</v>
      </c>
      <c r="C47" s="62" t="s">
        <v>72</v>
      </c>
      <c r="D47" s="68" t="s">
        <v>132</v>
      </c>
      <c r="E47" s="68">
        <v>1</v>
      </c>
      <c r="F47" s="68"/>
      <c r="G47" s="3">
        <f t="shared" si="2"/>
        <v>4232.8661000003003</v>
      </c>
      <c r="H47" s="3">
        <f t="shared" si="3"/>
        <v>0</v>
      </c>
      <c r="I47" s="1">
        <v>4232.8661000003003</v>
      </c>
      <c r="J47" s="1"/>
      <c r="K47" s="1"/>
      <c r="L47" s="1"/>
      <c r="M47" s="10"/>
      <c r="N47" s="1"/>
    </row>
    <row r="48" spans="2:14" ht="59.25" customHeight="1" x14ac:dyDescent="0.25">
      <c r="B48" s="68">
        <v>5</v>
      </c>
      <c r="C48" s="23" t="s">
        <v>34</v>
      </c>
      <c r="D48" s="68"/>
      <c r="E48" s="68"/>
      <c r="F48" s="68"/>
      <c r="G48" s="3">
        <f t="shared" si="2"/>
        <v>0</v>
      </c>
      <c r="H48" s="3">
        <f t="shared" si="3"/>
        <v>0</v>
      </c>
      <c r="I48" s="1"/>
      <c r="J48" s="1"/>
      <c r="K48" s="1"/>
      <c r="L48" s="1"/>
      <c r="M48" s="1"/>
      <c r="N48" s="1"/>
    </row>
    <row r="49" spans="2:14" ht="240" customHeight="1" x14ac:dyDescent="0.25">
      <c r="B49" s="68">
        <v>6</v>
      </c>
      <c r="C49" s="23" t="s">
        <v>41</v>
      </c>
      <c r="D49" s="52" t="s">
        <v>152</v>
      </c>
      <c r="E49" s="66" t="s">
        <v>191</v>
      </c>
      <c r="F49" s="66" t="s">
        <v>190</v>
      </c>
      <c r="G49" s="3">
        <f t="shared" si="2"/>
        <v>4227359.3101099199</v>
      </c>
      <c r="H49" s="3">
        <f t="shared" si="3"/>
        <v>3900112.54819</v>
      </c>
      <c r="I49" s="1">
        <v>1827359.3101099201</v>
      </c>
      <c r="J49" s="1">
        <f>1555687.70916-J50</f>
        <v>1500112.54819</v>
      </c>
      <c r="K49" s="1">
        <v>2400000</v>
      </c>
      <c r="L49" s="1">
        <v>2400000</v>
      </c>
      <c r="M49" s="1"/>
      <c r="N49" s="1"/>
    </row>
    <row r="50" spans="2:14" ht="55.5" customHeight="1" x14ac:dyDescent="0.25">
      <c r="B50" s="68">
        <v>7</v>
      </c>
      <c r="C50" s="23" t="s">
        <v>73</v>
      </c>
      <c r="D50" s="68" t="s">
        <v>35</v>
      </c>
      <c r="E50" s="68">
        <v>208</v>
      </c>
      <c r="F50" s="68">
        <v>26</v>
      </c>
      <c r="G50" s="3">
        <f t="shared" si="2"/>
        <v>536836.07708835695</v>
      </c>
      <c r="H50" s="3">
        <f t="shared" si="3"/>
        <v>55575.160969999997</v>
      </c>
      <c r="I50" s="1">
        <v>536836.07708835695</v>
      </c>
      <c r="J50" s="1">
        <f>29552941.27/1000+18575284.7/1000+3366765/1000+4080170/1000</f>
        <v>55575.160969999997</v>
      </c>
      <c r="K50" s="1"/>
      <c r="L50" s="1"/>
      <c r="M50" s="1"/>
      <c r="N50" s="1"/>
    </row>
    <row r="51" spans="2:14" s="15" customFormat="1" ht="47.25" x14ac:dyDescent="0.25">
      <c r="B51" s="69">
        <v>8</v>
      </c>
      <c r="C51" s="23" t="s">
        <v>44</v>
      </c>
      <c r="D51" s="52" t="s">
        <v>152</v>
      </c>
      <c r="E51" s="52" t="s">
        <v>153</v>
      </c>
      <c r="F51" s="70" t="s">
        <v>173</v>
      </c>
      <c r="G51" s="3">
        <f t="shared" si="2"/>
        <v>77436.5169042458</v>
      </c>
      <c r="H51" s="3">
        <f t="shared" si="3"/>
        <v>21199.68161</v>
      </c>
      <c r="I51" s="1">
        <v>77436.5169042458</v>
      </c>
      <c r="J51" s="1">
        <v>21199.68161</v>
      </c>
      <c r="K51" s="10"/>
      <c r="L51" s="10"/>
      <c r="M51" s="14"/>
      <c r="N51" s="14"/>
    </row>
    <row r="52" spans="2:14" s="15" customFormat="1" ht="54" customHeight="1" x14ac:dyDescent="0.25">
      <c r="B52" s="69">
        <v>9</v>
      </c>
      <c r="C52" s="23" t="s">
        <v>74</v>
      </c>
      <c r="D52" s="52" t="s">
        <v>152</v>
      </c>
      <c r="E52" s="52" t="s">
        <v>154</v>
      </c>
      <c r="F52" s="63"/>
      <c r="G52" s="3">
        <f t="shared" si="2"/>
        <v>47951.901037818003</v>
      </c>
      <c r="H52" s="3">
        <f t="shared" si="3"/>
        <v>0</v>
      </c>
      <c r="I52" s="1">
        <v>47951.901037818003</v>
      </c>
      <c r="J52" s="1"/>
      <c r="K52" s="10"/>
      <c r="L52" s="10"/>
      <c r="M52" s="14"/>
      <c r="N52" s="14"/>
    </row>
    <row r="53" spans="2:14" s="15" customFormat="1" ht="31.5" x14ac:dyDescent="0.25">
      <c r="B53" s="69">
        <v>10</v>
      </c>
      <c r="C53" s="23" t="s">
        <v>75</v>
      </c>
      <c r="D53" s="52" t="s">
        <v>148</v>
      </c>
      <c r="E53" s="52" t="s">
        <v>155</v>
      </c>
      <c r="F53" s="63"/>
      <c r="G53" s="3">
        <f t="shared" si="2"/>
        <v>130056.368675183</v>
      </c>
      <c r="H53" s="3">
        <f t="shared" si="3"/>
        <v>0</v>
      </c>
      <c r="I53" s="1">
        <v>130056.368675183</v>
      </c>
      <c r="J53" s="1"/>
      <c r="K53" s="10"/>
      <c r="L53" s="10"/>
      <c r="M53" s="14"/>
      <c r="N53" s="14"/>
    </row>
    <row r="54" spans="2:14" s="15" customFormat="1" ht="78.75" x14ac:dyDescent="0.25">
      <c r="B54" s="69">
        <v>11</v>
      </c>
      <c r="C54" s="23" t="s">
        <v>76</v>
      </c>
      <c r="D54" s="52" t="s">
        <v>156</v>
      </c>
      <c r="E54" s="52" t="s">
        <v>157</v>
      </c>
      <c r="F54" s="63"/>
      <c r="G54" s="3">
        <f t="shared" si="2"/>
        <v>334442.12400000001</v>
      </c>
      <c r="H54" s="3">
        <f t="shared" si="3"/>
        <v>0</v>
      </c>
      <c r="I54" s="1">
        <v>334442.12400000001</v>
      </c>
      <c r="J54" s="1"/>
      <c r="K54" s="10"/>
      <c r="L54" s="10"/>
      <c r="M54" s="14"/>
      <c r="N54" s="14"/>
    </row>
    <row r="55" spans="2:14" s="15" customFormat="1" x14ac:dyDescent="0.25">
      <c r="B55" s="69">
        <v>12</v>
      </c>
      <c r="C55" s="23" t="s">
        <v>143</v>
      </c>
      <c r="D55" s="68" t="s">
        <v>158</v>
      </c>
      <c r="E55" s="68">
        <v>54</v>
      </c>
      <c r="F55" s="70" t="s">
        <v>174</v>
      </c>
      <c r="G55" s="3">
        <f t="shared" si="2"/>
        <v>978286.12233178597</v>
      </c>
      <c r="H55" s="3">
        <f t="shared" si="3"/>
        <v>742813.54173000006</v>
      </c>
      <c r="I55" s="1">
        <v>978286.12233178597</v>
      </c>
      <c r="J55" s="1">
        <f>742813541.73/1000</f>
        <v>742813.54173000006</v>
      </c>
      <c r="K55" s="10"/>
      <c r="L55" s="10"/>
      <c r="M55" s="14"/>
      <c r="N55" s="14"/>
    </row>
    <row r="56" spans="2:14" s="15" customFormat="1" ht="31.5" x14ac:dyDescent="0.25">
      <c r="B56" s="69">
        <v>13</v>
      </c>
      <c r="C56" s="23" t="s">
        <v>77</v>
      </c>
      <c r="D56" s="68" t="s">
        <v>159</v>
      </c>
      <c r="E56" s="68">
        <v>120</v>
      </c>
      <c r="F56" s="10">
        <v>45</v>
      </c>
      <c r="G56" s="3">
        <f t="shared" si="2"/>
        <v>199662.601890928</v>
      </c>
      <c r="H56" s="3">
        <f t="shared" si="3"/>
        <v>69308.217629999999</v>
      </c>
      <c r="I56" s="1">
        <v>199662.601890928</v>
      </c>
      <c r="J56" s="1">
        <f>18894376.64/1000+50413840.99/1000</f>
        <v>69308.217629999999</v>
      </c>
      <c r="K56" s="10"/>
      <c r="L56" s="10"/>
      <c r="M56" s="14"/>
      <c r="N56" s="14"/>
    </row>
    <row r="57" spans="2:14" s="15" customFormat="1" ht="31.5" x14ac:dyDescent="0.25">
      <c r="B57" s="69">
        <v>14</v>
      </c>
      <c r="C57" s="23" t="s">
        <v>78</v>
      </c>
      <c r="D57" s="68" t="s">
        <v>10</v>
      </c>
      <c r="E57" s="68">
        <v>13.26</v>
      </c>
      <c r="F57" s="63"/>
      <c r="G57" s="3">
        <f t="shared" si="2"/>
        <v>358543.60398214299</v>
      </c>
      <c r="H57" s="3">
        <f t="shared" si="3"/>
        <v>0</v>
      </c>
      <c r="I57" s="1">
        <v>358543.60398214299</v>
      </c>
      <c r="J57" s="1"/>
      <c r="K57" s="10"/>
      <c r="L57" s="10"/>
      <c r="M57" s="14"/>
      <c r="N57" s="14"/>
    </row>
    <row r="58" spans="2:14" ht="31.5" x14ac:dyDescent="0.25">
      <c r="B58" s="68">
        <v>15</v>
      </c>
      <c r="C58" s="23" t="s">
        <v>20</v>
      </c>
      <c r="D58" s="52" t="s">
        <v>150</v>
      </c>
      <c r="E58" s="52" t="s">
        <v>160</v>
      </c>
      <c r="F58" s="68"/>
      <c r="G58" s="3">
        <f t="shared" si="2"/>
        <v>76024.475618071403</v>
      </c>
      <c r="H58" s="3">
        <f t="shared" si="3"/>
        <v>0</v>
      </c>
      <c r="I58" s="1">
        <f>I59+I60</f>
        <v>76024.475618071403</v>
      </c>
      <c r="J58" s="1"/>
      <c r="K58" s="1"/>
      <c r="L58" s="1"/>
      <c r="M58" s="1"/>
      <c r="N58" s="1"/>
    </row>
    <row r="59" spans="2:14" ht="63" x14ac:dyDescent="0.25">
      <c r="B59" s="68">
        <v>16</v>
      </c>
      <c r="C59" s="23" t="s">
        <v>79</v>
      </c>
      <c r="D59" s="68" t="s">
        <v>9</v>
      </c>
      <c r="E59" s="68">
        <v>1</v>
      </c>
      <c r="F59" s="68"/>
      <c r="G59" s="3">
        <f t="shared" si="2"/>
        <v>74353.475618071403</v>
      </c>
      <c r="H59" s="3">
        <f t="shared" si="3"/>
        <v>0</v>
      </c>
      <c r="I59" s="1">
        <v>74353.475618071403</v>
      </c>
      <c r="J59" s="1"/>
      <c r="K59" s="1"/>
      <c r="L59" s="1"/>
      <c r="M59" s="1"/>
      <c r="N59" s="1"/>
    </row>
    <row r="60" spans="2:14" ht="76.5" customHeight="1" x14ac:dyDescent="0.25">
      <c r="B60" s="68">
        <v>17</v>
      </c>
      <c r="C60" s="23" t="s">
        <v>80</v>
      </c>
      <c r="D60" s="68" t="s">
        <v>132</v>
      </c>
      <c r="E60" s="68">
        <v>1</v>
      </c>
      <c r="F60" s="68"/>
      <c r="G60" s="3">
        <f t="shared" si="2"/>
        <v>1671</v>
      </c>
      <c r="H60" s="3">
        <f t="shared" si="3"/>
        <v>0</v>
      </c>
      <c r="I60" s="1">
        <v>1671</v>
      </c>
      <c r="J60" s="1"/>
      <c r="K60" s="1"/>
      <c r="L60" s="1"/>
      <c r="M60" s="1"/>
      <c r="N60" s="1"/>
    </row>
    <row r="61" spans="2:14" ht="21.75" customHeight="1" x14ac:dyDescent="0.25">
      <c r="B61" s="68">
        <v>18</v>
      </c>
      <c r="C61" s="23" t="s">
        <v>81</v>
      </c>
      <c r="D61" s="68" t="s">
        <v>35</v>
      </c>
      <c r="E61" s="68">
        <v>2</v>
      </c>
      <c r="F61" s="68"/>
      <c r="G61" s="3">
        <f t="shared" si="2"/>
        <v>110000</v>
      </c>
      <c r="H61" s="3">
        <f t="shared" si="3"/>
        <v>0</v>
      </c>
      <c r="I61" s="1">
        <v>110000</v>
      </c>
      <c r="J61" s="1"/>
      <c r="K61" s="1"/>
      <c r="L61" s="1"/>
      <c r="M61" s="1"/>
      <c r="N61" s="1"/>
    </row>
    <row r="62" spans="2:14" ht="31.5" x14ac:dyDescent="0.25">
      <c r="B62" s="68">
        <v>19</v>
      </c>
      <c r="C62" s="23" t="s">
        <v>30</v>
      </c>
      <c r="D62" s="52" t="s">
        <v>148</v>
      </c>
      <c r="E62" s="52" t="s">
        <v>161</v>
      </c>
      <c r="F62" s="66" t="s">
        <v>187</v>
      </c>
      <c r="G62" s="3">
        <f t="shared" si="2"/>
        <v>659675.44155328302</v>
      </c>
      <c r="H62" s="3">
        <f t="shared" si="3"/>
        <v>275534.51747999998</v>
      </c>
      <c r="I62" s="1">
        <v>659675.44155328302</v>
      </c>
      <c r="J62" s="1">
        <f>183697476/1000+2853061.61/1000+13262593.75/1000+(58858935.71/1000)+(1235654.46+13303708.93)/1000+2323087.02/1000</f>
        <v>275534.51747999998</v>
      </c>
      <c r="K62" s="1"/>
      <c r="L62" s="1"/>
      <c r="M62" s="1"/>
      <c r="N62" s="1"/>
    </row>
    <row r="63" spans="2:14" ht="141.75" x14ac:dyDescent="0.25">
      <c r="B63" s="68">
        <v>20</v>
      </c>
      <c r="C63" s="23" t="s">
        <v>24</v>
      </c>
      <c r="D63" s="52" t="s">
        <v>162</v>
      </c>
      <c r="E63" s="52" t="s">
        <v>163</v>
      </c>
      <c r="F63" s="66" t="s">
        <v>175</v>
      </c>
      <c r="G63" s="3">
        <f t="shared" si="2"/>
        <v>373765.44193071401</v>
      </c>
      <c r="H63" s="3">
        <f t="shared" si="3"/>
        <v>212374.30979000003</v>
      </c>
      <c r="I63" s="1">
        <v>373765.44193071401</v>
      </c>
      <c r="J63" s="1">
        <f>34905.94814+88289.99196+19950.12054+11696.4125+26881.76257+6985.69018+12622728.57/1000+1043900/1000+(5378329.46/1000)+4240418.73/1000+379007.14/1000</f>
        <v>212374.30979000003</v>
      </c>
      <c r="K63" s="1"/>
      <c r="L63" s="1"/>
      <c r="M63" s="1"/>
      <c r="N63" s="1"/>
    </row>
    <row r="64" spans="2:14" ht="47.25" x14ac:dyDescent="0.25">
      <c r="B64" s="68">
        <v>21</v>
      </c>
      <c r="C64" s="23" t="s">
        <v>82</v>
      </c>
      <c r="D64" s="68" t="s">
        <v>164</v>
      </c>
      <c r="E64" s="68">
        <v>1</v>
      </c>
      <c r="F64" s="68"/>
      <c r="G64" s="3">
        <f t="shared" si="2"/>
        <v>8750</v>
      </c>
      <c r="H64" s="3">
        <f t="shared" si="3"/>
        <v>0</v>
      </c>
      <c r="I64" s="1">
        <v>8750</v>
      </c>
      <c r="J64" s="1"/>
      <c r="K64" s="1"/>
      <c r="L64" s="1"/>
      <c r="M64" s="1"/>
      <c r="N64" s="1"/>
    </row>
    <row r="65" spans="2:14" ht="173.25" x14ac:dyDescent="0.25">
      <c r="B65" s="68">
        <v>22</v>
      </c>
      <c r="C65" s="23" t="s">
        <v>83</v>
      </c>
      <c r="D65" s="68" t="s">
        <v>158</v>
      </c>
      <c r="E65" s="68">
        <v>55</v>
      </c>
      <c r="F65" s="66" t="s">
        <v>176</v>
      </c>
      <c r="G65" s="3">
        <f t="shared" si="2"/>
        <v>433431.77281309798</v>
      </c>
      <c r="H65" s="3">
        <f t="shared" si="3"/>
        <v>385832.79508000001</v>
      </c>
      <c r="I65" s="1">
        <v>433431.77281309798</v>
      </c>
      <c r="J65" s="1">
        <f>385832795.08/1000</f>
        <v>385832.79508000001</v>
      </c>
      <c r="K65" s="1"/>
      <c r="L65" s="1"/>
      <c r="M65" s="1"/>
      <c r="N65" s="1"/>
    </row>
    <row r="66" spans="2:14" ht="31.5" x14ac:dyDescent="0.25">
      <c r="B66" s="68">
        <v>23</v>
      </c>
      <c r="C66" s="23" t="s">
        <v>38</v>
      </c>
      <c r="D66" s="68"/>
      <c r="E66" s="1"/>
      <c r="F66" s="68"/>
      <c r="G66" s="3">
        <f t="shared" si="2"/>
        <v>0</v>
      </c>
      <c r="H66" s="3">
        <f t="shared" si="3"/>
        <v>0</v>
      </c>
      <c r="I66" s="1"/>
      <c r="J66" s="1"/>
      <c r="K66" s="1"/>
      <c r="L66" s="1"/>
      <c r="M66" s="1"/>
      <c r="N66" s="1"/>
    </row>
    <row r="67" spans="2:14" ht="31.5" x14ac:dyDescent="0.25">
      <c r="B67" s="73">
        <v>24</v>
      </c>
      <c r="C67" s="23" t="s">
        <v>133</v>
      </c>
      <c r="D67" s="68" t="s">
        <v>9</v>
      </c>
      <c r="E67" s="68">
        <v>1</v>
      </c>
      <c r="F67" s="68">
        <v>1</v>
      </c>
      <c r="G67" s="3">
        <f t="shared" si="2"/>
        <v>6420.62580357143</v>
      </c>
      <c r="H67" s="3">
        <f t="shared" si="3"/>
        <v>5639.2702099999997</v>
      </c>
      <c r="I67" s="1">
        <v>6420.62580357143</v>
      </c>
      <c r="J67" s="1">
        <f>5639270.21/1000</f>
        <v>5639.2702099999997</v>
      </c>
      <c r="K67" s="1"/>
      <c r="L67" s="1"/>
      <c r="M67" s="1"/>
      <c r="N67" s="1"/>
    </row>
    <row r="68" spans="2:14" ht="47.25" x14ac:dyDescent="0.25">
      <c r="B68" s="73"/>
      <c r="C68" s="23" t="s">
        <v>84</v>
      </c>
      <c r="D68" s="68" t="s">
        <v>132</v>
      </c>
      <c r="E68" s="68">
        <v>1</v>
      </c>
      <c r="F68" s="68"/>
      <c r="G68" s="3">
        <f t="shared" si="2"/>
        <v>1046.201</v>
      </c>
      <c r="H68" s="3">
        <f t="shared" si="3"/>
        <v>0</v>
      </c>
      <c r="I68" s="1">
        <v>1046.201</v>
      </c>
      <c r="J68" s="1"/>
      <c r="K68" s="1"/>
      <c r="L68" s="1"/>
      <c r="M68" s="1"/>
      <c r="N68" s="1"/>
    </row>
    <row r="69" spans="2:14" ht="21.75" customHeight="1" x14ac:dyDescent="0.25">
      <c r="B69" s="73">
        <v>25</v>
      </c>
      <c r="C69" s="23" t="s">
        <v>85</v>
      </c>
      <c r="D69" s="68" t="s">
        <v>9</v>
      </c>
      <c r="E69" s="68">
        <v>1</v>
      </c>
      <c r="F69" s="68"/>
      <c r="G69" s="3">
        <f t="shared" si="2"/>
        <v>17811.096348214302</v>
      </c>
      <c r="H69" s="3">
        <f t="shared" si="3"/>
        <v>0</v>
      </c>
      <c r="I69" s="1">
        <v>17811.096348214302</v>
      </c>
      <c r="J69" s="1"/>
      <c r="K69" s="1"/>
      <c r="L69" s="1"/>
      <c r="M69" s="1"/>
      <c r="N69" s="1"/>
    </row>
    <row r="70" spans="2:14" ht="38.25" customHeight="1" x14ac:dyDescent="0.25">
      <c r="B70" s="73"/>
      <c r="C70" s="23" t="s">
        <v>86</v>
      </c>
      <c r="D70" s="68" t="s">
        <v>132</v>
      </c>
      <c r="E70" s="68">
        <v>1</v>
      </c>
      <c r="F70" s="68"/>
      <c r="G70" s="3">
        <f t="shared" si="2"/>
        <v>1497.4880000000001</v>
      </c>
      <c r="H70" s="3">
        <f t="shared" si="3"/>
        <v>0</v>
      </c>
      <c r="I70" s="1">
        <v>1497.4880000000001</v>
      </c>
      <c r="J70" s="1"/>
      <c r="K70" s="1"/>
      <c r="L70" s="1"/>
      <c r="M70" s="1"/>
      <c r="N70" s="1"/>
    </row>
    <row r="71" spans="2:14" ht="31.5" customHeight="1" x14ac:dyDescent="0.25">
      <c r="B71" s="73">
        <v>26</v>
      </c>
      <c r="C71" s="23" t="s">
        <v>87</v>
      </c>
      <c r="D71" s="68" t="s">
        <v>9</v>
      </c>
      <c r="E71" s="68">
        <v>1</v>
      </c>
      <c r="F71" s="68"/>
      <c r="G71" s="3">
        <f t="shared" si="2"/>
        <v>1746.2774999999999</v>
      </c>
      <c r="H71" s="3">
        <f t="shared" si="3"/>
        <v>0</v>
      </c>
      <c r="I71" s="1">
        <v>1746.2774999999999</v>
      </c>
      <c r="J71" s="1"/>
      <c r="K71" s="1"/>
      <c r="L71" s="1"/>
      <c r="M71" s="1"/>
      <c r="N71" s="1"/>
    </row>
    <row r="72" spans="2:14" ht="43.5" customHeight="1" x14ac:dyDescent="0.25">
      <c r="B72" s="73"/>
      <c r="C72" s="23" t="s">
        <v>88</v>
      </c>
      <c r="D72" s="68" t="s">
        <v>132</v>
      </c>
      <c r="E72" s="68">
        <v>1</v>
      </c>
      <c r="F72" s="68"/>
      <c r="G72" s="3">
        <f t="shared" si="2"/>
        <v>1241.056</v>
      </c>
      <c r="H72" s="3">
        <f t="shared" si="3"/>
        <v>0</v>
      </c>
      <c r="I72" s="1">
        <v>1241.056</v>
      </c>
      <c r="J72" s="1"/>
      <c r="K72" s="1"/>
      <c r="L72" s="1"/>
      <c r="M72" s="1"/>
      <c r="N72" s="1"/>
    </row>
    <row r="73" spans="2:14" ht="31.5" x14ac:dyDescent="0.25">
      <c r="B73" s="73">
        <v>27</v>
      </c>
      <c r="C73" s="23" t="s">
        <v>89</v>
      </c>
      <c r="D73" s="68" t="s">
        <v>9</v>
      </c>
      <c r="E73" s="68">
        <v>1</v>
      </c>
      <c r="F73" s="68"/>
      <c r="G73" s="3">
        <f t="shared" si="2"/>
        <v>14009.593607142901</v>
      </c>
      <c r="H73" s="3">
        <f t="shared" si="3"/>
        <v>0</v>
      </c>
      <c r="I73" s="1">
        <v>14009.593607142901</v>
      </c>
      <c r="J73" s="1"/>
      <c r="K73" s="1"/>
      <c r="L73" s="1"/>
      <c r="M73" s="1"/>
      <c r="N73" s="1"/>
    </row>
    <row r="74" spans="2:14" ht="54.75" customHeight="1" x14ac:dyDescent="0.25">
      <c r="B74" s="73"/>
      <c r="C74" s="23" t="s">
        <v>90</v>
      </c>
      <c r="D74" s="68" t="s">
        <v>132</v>
      </c>
      <c r="E74" s="68">
        <v>1</v>
      </c>
      <c r="F74" s="68"/>
      <c r="G74" s="3">
        <f t="shared" si="2"/>
        <v>1671</v>
      </c>
      <c r="H74" s="3">
        <f t="shared" si="3"/>
        <v>0</v>
      </c>
      <c r="I74" s="1">
        <v>1671</v>
      </c>
      <c r="J74" s="1"/>
      <c r="K74" s="1"/>
      <c r="L74" s="1"/>
      <c r="M74" s="1"/>
      <c r="N74" s="1"/>
    </row>
    <row r="75" spans="2:14" ht="42" customHeight="1" x14ac:dyDescent="0.25">
      <c r="B75" s="73">
        <v>28</v>
      </c>
      <c r="C75" s="23" t="s">
        <v>91</v>
      </c>
      <c r="D75" s="68" t="s">
        <v>9</v>
      </c>
      <c r="E75" s="68">
        <v>1</v>
      </c>
      <c r="F75" s="68"/>
      <c r="G75" s="3">
        <f t="shared" si="2"/>
        <v>2767.8571400000001</v>
      </c>
      <c r="H75" s="3">
        <f t="shared" si="3"/>
        <v>0</v>
      </c>
      <c r="I75" s="1">
        <v>2767.8571400000001</v>
      </c>
      <c r="J75" s="1"/>
      <c r="K75" s="1"/>
      <c r="L75" s="1"/>
      <c r="M75" s="1"/>
      <c r="N75" s="1"/>
    </row>
    <row r="76" spans="2:14" ht="57" customHeight="1" x14ac:dyDescent="0.25">
      <c r="B76" s="73"/>
      <c r="C76" s="23" t="s">
        <v>92</v>
      </c>
      <c r="D76" s="68" t="s">
        <v>132</v>
      </c>
      <c r="E76" s="68">
        <v>1</v>
      </c>
      <c r="F76" s="68"/>
      <c r="G76" s="3">
        <f t="shared" si="2"/>
        <v>478.25200000000001</v>
      </c>
      <c r="H76" s="3">
        <f t="shared" si="3"/>
        <v>0</v>
      </c>
      <c r="I76" s="1">
        <v>478.25200000000001</v>
      </c>
      <c r="J76" s="1"/>
      <c r="K76" s="1"/>
      <c r="L76" s="1"/>
      <c r="M76" s="1"/>
      <c r="N76" s="1"/>
    </row>
    <row r="77" spans="2:14" ht="31.5" x14ac:dyDescent="0.25">
      <c r="B77" s="68">
        <v>29</v>
      </c>
      <c r="C77" s="23" t="s">
        <v>36</v>
      </c>
      <c r="D77" s="68"/>
      <c r="E77" s="1"/>
      <c r="F77" s="68"/>
      <c r="G77" s="3">
        <f t="shared" si="2"/>
        <v>0</v>
      </c>
      <c r="H77" s="3">
        <f t="shared" si="3"/>
        <v>0</v>
      </c>
      <c r="I77" s="1"/>
      <c r="J77" s="1"/>
      <c r="K77" s="1"/>
      <c r="L77" s="1"/>
      <c r="M77" s="1"/>
      <c r="N77" s="1"/>
    </row>
    <row r="78" spans="2:14" x14ac:dyDescent="0.25">
      <c r="B78" s="68">
        <v>30</v>
      </c>
      <c r="C78" s="23" t="s">
        <v>37</v>
      </c>
      <c r="D78" s="68"/>
      <c r="E78" s="1"/>
      <c r="F78" s="68"/>
      <c r="G78" s="3">
        <f t="shared" si="2"/>
        <v>0</v>
      </c>
      <c r="H78" s="3">
        <f t="shared" si="3"/>
        <v>0</v>
      </c>
      <c r="I78" s="1"/>
      <c r="J78" s="1"/>
      <c r="K78" s="1"/>
      <c r="L78" s="1"/>
      <c r="M78" s="1"/>
      <c r="N78" s="1"/>
    </row>
    <row r="79" spans="2:14" x14ac:dyDescent="0.25">
      <c r="B79" s="68">
        <v>31</v>
      </c>
      <c r="C79" s="23" t="s">
        <v>93</v>
      </c>
      <c r="D79" s="68"/>
      <c r="E79" s="1"/>
      <c r="F79" s="68"/>
      <c r="G79" s="3">
        <f t="shared" si="2"/>
        <v>0</v>
      </c>
      <c r="H79" s="3">
        <f t="shared" si="3"/>
        <v>0</v>
      </c>
      <c r="I79" s="1"/>
      <c r="J79" s="1"/>
      <c r="K79" s="1"/>
      <c r="L79" s="1"/>
      <c r="M79" s="1"/>
      <c r="N79" s="1"/>
    </row>
    <row r="80" spans="2:14" x14ac:dyDescent="0.25">
      <c r="B80" s="68">
        <v>32</v>
      </c>
      <c r="C80" s="23" t="s">
        <v>94</v>
      </c>
      <c r="D80" s="68"/>
      <c r="E80" s="1"/>
      <c r="F80" s="68"/>
      <c r="G80" s="3">
        <f t="shared" si="2"/>
        <v>0</v>
      </c>
      <c r="H80" s="3">
        <f t="shared" si="3"/>
        <v>0</v>
      </c>
      <c r="I80" s="1"/>
      <c r="J80" s="1"/>
      <c r="K80" s="1"/>
      <c r="L80" s="1"/>
      <c r="M80" s="1"/>
      <c r="N80" s="1"/>
    </row>
    <row r="81" spans="2:14" s="36" customFormat="1" ht="23.25" customHeight="1" x14ac:dyDescent="0.25">
      <c r="B81" s="35"/>
      <c r="C81" s="64" t="s">
        <v>5</v>
      </c>
      <c r="D81" s="10"/>
      <c r="E81" s="10"/>
      <c r="F81" s="63"/>
      <c r="G81" s="3">
        <f>G82+G83+G84+G85+G86+G95+G96+G97+G98+G99+G100+G101+G102+G103</f>
        <v>538546.18626139022</v>
      </c>
      <c r="H81" s="3">
        <f t="shared" ref="H81:N81" si="4">H82+H83+H84+H85+H86+H95+H96+H97+H98+H99+H100+H101+H102+H103</f>
        <v>49056.058310000008</v>
      </c>
      <c r="I81" s="3">
        <f t="shared" si="4"/>
        <v>538546.18626139022</v>
      </c>
      <c r="J81" s="3">
        <f t="shared" si="4"/>
        <v>49056.058310000008</v>
      </c>
      <c r="K81" s="3">
        <f t="shared" si="4"/>
        <v>0</v>
      </c>
      <c r="L81" s="3">
        <f t="shared" si="4"/>
        <v>0</v>
      </c>
      <c r="M81" s="3">
        <f t="shared" si="4"/>
        <v>0</v>
      </c>
      <c r="N81" s="3">
        <f t="shared" si="4"/>
        <v>0</v>
      </c>
    </row>
    <row r="82" spans="2:14" s="36" customFormat="1" ht="31.5" x14ac:dyDescent="0.25">
      <c r="B82" s="69">
        <v>33</v>
      </c>
      <c r="C82" s="23" t="s">
        <v>134</v>
      </c>
      <c r="D82" s="10"/>
      <c r="E82" s="10"/>
      <c r="F82" s="63"/>
      <c r="G82" s="3">
        <f t="shared" ref="G82:G85" si="5">I82+K82+M82</f>
        <v>0</v>
      </c>
      <c r="H82" s="3">
        <f t="shared" ref="H82:H85" si="6">J82+L82+N82</f>
        <v>0</v>
      </c>
      <c r="I82" s="1"/>
      <c r="J82" s="1"/>
      <c r="K82" s="1"/>
      <c r="L82" s="1"/>
      <c r="M82" s="1"/>
      <c r="N82" s="1"/>
    </row>
    <row r="83" spans="2:14" s="36" customFormat="1" ht="31.5" x14ac:dyDescent="0.25">
      <c r="B83" s="72">
        <v>34</v>
      </c>
      <c r="C83" s="23" t="s">
        <v>135</v>
      </c>
      <c r="D83" s="68" t="s">
        <v>9</v>
      </c>
      <c r="E83" s="68">
        <v>1</v>
      </c>
      <c r="F83" s="63"/>
      <c r="G83" s="3">
        <f t="shared" si="5"/>
        <v>16240.5625678571</v>
      </c>
      <c r="H83" s="3">
        <f t="shared" si="6"/>
        <v>0</v>
      </c>
      <c r="I83" s="1">
        <v>16240.5625678571</v>
      </c>
      <c r="J83" s="1"/>
      <c r="K83" s="1"/>
      <c r="L83" s="1"/>
      <c r="M83" s="1"/>
      <c r="N83" s="1"/>
    </row>
    <row r="84" spans="2:14" s="36" customFormat="1" ht="47.25" x14ac:dyDescent="0.25">
      <c r="B84" s="72"/>
      <c r="C84" s="23" t="s">
        <v>111</v>
      </c>
      <c r="D84" s="68" t="s">
        <v>132</v>
      </c>
      <c r="E84" s="68">
        <v>1</v>
      </c>
      <c r="F84" s="63"/>
      <c r="G84" s="3">
        <f t="shared" si="5"/>
        <v>1671</v>
      </c>
      <c r="H84" s="3">
        <f t="shared" si="6"/>
        <v>0</v>
      </c>
      <c r="I84" s="1">
        <v>1671</v>
      </c>
      <c r="J84" s="1"/>
      <c r="K84" s="1"/>
      <c r="L84" s="1"/>
      <c r="M84" s="1"/>
      <c r="N84" s="1"/>
    </row>
    <row r="85" spans="2:14" s="36" customFormat="1" x14ac:dyDescent="0.25">
      <c r="B85" s="69">
        <v>35</v>
      </c>
      <c r="C85" s="23" t="s">
        <v>112</v>
      </c>
      <c r="D85" s="68" t="s">
        <v>9</v>
      </c>
      <c r="E85" s="68">
        <v>1</v>
      </c>
      <c r="F85" s="63"/>
      <c r="G85" s="3">
        <f t="shared" si="5"/>
        <v>27346.459360854798</v>
      </c>
      <c r="H85" s="3">
        <f t="shared" si="6"/>
        <v>0</v>
      </c>
      <c r="I85" s="1">
        <v>27346.459360854798</v>
      </c>
      <c r="J85" s="1"/>
      <c r="K85" s="1"/>
      <c r="L85" s="1"/>
      <c r="M85" s="1"/>
      <c r="N85" s="1"/>
    </row>
    <row r="86" spans="2:14" s="15" customFormat="1" ht="42.75" customHeight="1" x14ac:dyDescent="0.25">
      <c r="B86" s="69">
        <v>36</v>
      </c>
      <c r="C86" s="23" t="s">
        <v>39</v>
      </c>
      <c r="D86" s="52" t="s">
        <v>165</v>
      </c>
      <c r="E86" s="52" t="s">
        <v>166</v>
      </c>
      <c r="F86" s="53" t="s">
        <v>192</v>
      </c>
      <c r="G86" s="3">
        <f>I86+K86+M86</f>
        <v>134493.05632232144</v>
      </c>
      <c r="H86" s="3">
        <f>J86+L86+N86</f>
        <v>35203.492580000006</v>
      </c>
      <c r="I86" s="1">
        <f>SUM(I87:I94)</f>
        <v>134493.05632232144</v>
      </c>
      <c r="J86" s="1">
        <f t="shared" ref="J86:N86" si="7">SUM(J87:J94)</f>
        <v>35203.492580000006</v>
      </c>
      <c r="K86" s="1">
        <f t="shared" si="7"/>
        <v>0</v>
      </c>
      <c r="L86" s="1">
        <f t="shared" si="7"/>
        <v>0</v>
      </c>
      <c r="M86" s="1">
        <f t="shared" si="7"/>
        <v>0</v>
      </c>
      <c r="N86" s="1">
        <f t="shared" si="7"/>
        <v>0</v>
      </c>
    </row>
    <row r="87" spans="2:14" s="15" customFormat="1" ht="30" x14ac:dyDescent="0.25">
      <c r="B87" s="71" t="s">
        <v>139</v>
      </c>
      <c r="C87" s="62" t="s">
        <v>95</v>
      </c>
      <c r="D87" s="68" t="s">
        <v>9</v>
      </c>
      <c r="E87" s="68">
        <v>1</v>
      </c>
      <c r="F87" s="53">
        <v>1</v>
      </c>
      <c r="G87" s="3">
        <f t="shared" ref="G87:G106" si="8">I87+K87+M87</f>
        <v>37604.546762857135</v>
      </c>
      <c r="H87" s="3">
        <f t="shared" ref="H87:H103" si="9">J87+L87+N87</f>
        <v>12311.31474</v>
      </c>
      <c r="I87" s="1">
        <v>37604.546762857135</v>
      </c>
      <c r="J87" s="1">
        <f>12311314.74/1000</f>
        <v>12311.31474</v>
      </c>
      <c r="K87" s="3"/>
      <c r="L87" s="3"/>
      <c r="M87" s="3"/>
      <c r="N87" s="3"/>
    </row>
    <row r="88" spans="2:14" s="15" customFormat="1" ht="30" x14ac:dyDescent="0.25">
      <c r="B88" s="71"/>
      <c r="C88" s="62" t="s">
        <v>96</v>
      </c>
      <c r="D88" s="68" t="s">
        <v>132</v>
      </c>
      <c r="E88" s="68">
        <v>1</v>
      </c>
      <c r="F88" s="53"/>
      <c r="G88" s="3">
        <f t="shared" si="8"/>
        <v>2203</v>
      </c>
      <c r="H88" s="3">
        <f t="shared" si="9"/>
        <v>0</v>
      </c>
      <c r="I88" s="1">
        <v>2203</v>
      </c>
      <c r="J88" s="1"/>
      <c r="K88" s="3"/>
      <c r="L88" s="3"/>
      <c r="M88" s="3"/>
      <c r="N88" s="3"/>
    </row>
    <row r="89" spans="2:14" s="15" customFormat="1" ht="30" x14ac:dyDescent="0.25">
      <c r="B89" s="71" t="s">
        <v>140</v>
      </c>
      <c r="C89" s="62" t="s">
        <v>97</v>
      </c>
      <c r="D89" s="68" t="s">
        <v>9</v>
      </c>
      <c r="E89" s="68">
        <v>1</v>
      </c>
      <c r="F89" s="53">
        <v>1</v>
      </c>
      <c r="G89" s="3">
        <f t="shared" si="8"/>
        <v>57296.136561428597</v>
      </c>
      <c r="H89" s="3">
        <f t="shared" si="9"/>
        <v>13451.835710000001</v>
      </c>
      <c r="I89" s="1">
        <v>57296.136561428597</v>
      </c>
      <c r="J89" s="1">
        <f>13451835.71/1000</f>
        <v>13451.835710000001</v>
      </c>
      <c r="K89" s="3"/>
      <c r="L89" s="3"/>
      <c r="M89" s="3"/>
      <c r="N89" s="3"/>
    </row>
    <row r="90" spans="2:14" s="15" customFormat="1" ht="30" x14ac:dyDescent="0.25">
      <c r="B90" s="71"/>
      <c r="C90" s="62" t="s">
        <v>98</v>
      </c>
      <c r="D90" s="68" t="s">
        <v>132</v>
      </c>
      <c r="E90" s="68">
        <v>1</v>
      </c>
      <c r="F90" s="51"/>
      <c r="G90" s="3">
        <f t="shared" si="8"/>
        <v>2345</v>
      </c>
      <c r="H90" s="3">
        <f t="shared" si="9"/>
        <v>0</v>
      </c>
      <c r="I90" s="1">
        <v>2345</v>
      </c>
      <c r="J90" s="1"/>
      <c r="K90" s="3"/>
      <c r="L90" s="3"/>
      <c r="M90" s="3"/>
      <c r="N90" s="3"/>
    </row>
    <row r="91" spans="2:14" s="15" customFormat="1" ht="30" x14ac:dyDescent="0.25">
      <c r="B91" s="71" t="s">
        <v>141</v>
      </c>
      <c r="C91" s="62" t="s">
        <v>99</v>
      </c>
      <c r="D91" s="68" t="s">
        <v>9</v>
      </c>
      <c r="E91" s="68">
        <v>1</v>
      </c>
      <c r="F91" s="53">
        <v>1</v>
      </c>
      <c r="G91" s="3">
        <f t="shared" si="8"/>
        <v>21218.834230178574</v>
      </c>
      <c r="H91" s="3">
        <f t="shared" si="9"/>
        <v>9440.3421300000009</v>
      </c>
      <c r="I91" s="1">
        <v>21218.834230178574</v>
      </c>
      <c r="J91" s="1">
        <f>9440342.13/1000</f>
        <v>9440.3421300000009</v>
      </c>
      <c r="K91" s="3"/>
      <c r="L91" s="3"/>
      <c r="M91" s="3"/>
      <c r="N91" s="3"/>
    </row>
    <row r="92" spans="2:14" s="15" customFormat="1" ht="30" x14ac:dyDescent="0.25">
      <c r="B92" s="71"/>
      <c r="C92" s="62" t="s">
        <v>100</v>
      </c>
      <c r="D92" s="68" t="s">
        <v>132</v>
      </c>
      <c r="E92" s="68">
        <v>1</v>
      </c>
      <c r="F92" s="51"/>
      <c r="G92" s="3">
        <f t="shared" si="8"/>
        <v>1584</v>
      </c>
      <c r="H92" s="3">
        <f t="shared" si="9"/>
        <v>0</v>
      </c>
      <c r="I92" s="1">
        <v>1584</v>
      </c>
      <c r="J92" s="1"/>
      <c r="K92" s="3"/>
      <c r="L92" s="3"/>
      <c r="M92" s="3"/>
      <c r="N92" s="3"/>
    </row>
    <row r="93" spans="2:14" s="15" customFormat="1" ht="45" x14ac:dyDescent="0.25">
      <c r="B93" s="71" t="s">
        <v>142</v>
      </c>
      <c r="C93" s="62" t="s">
        <v>101</v>
      </c>
      <c r="D93" s="68" t="s">
        <v>9</v>
      </c>
      <c r="E93" s="68">
        <v>1</v>
      </c>
      <c r="F93" s="51"/>
      <c r="G93" s="3">
        <f t="shared" si="8"/>
        <v>12000.482767857142</v>
      </c>
      <c r="H93" s="3">
        <f t="shared" si="9"/>
        <v>0</v>
      </c>
      <c r="I93" s="1">
        <v>12000.482767857142</v>
      </c>
      <c r="J93" s="1"/>
      <c r="K93" s="3"/>
      <c r="L93" s="3"/>
      <c r="M93" s="3"/>
      <c r="N93" s="3"/>
    </row>
    <row r="94" spans="2:14" s="15" customFormat="1" ht="60" x14ac:dyDescent="0.25">
      <c r="B94" s="71"/>
      <c r="C94" s="62" t="s">
        <v>102</v>
      </c>
      <c r="D94" s="68" t="s">
        <v>132</v>
      </c>
      <c r="E94" s="68">
        <v>1</v>
      </c>
      <c r="F94" s="51"/>
      <c r="G94" s="3">
        <f t="shared" si="8"/>
        <v>241.05600000000001</v>
      </c>
      <c r="H94" s="3">
        <f t="shared" si="9"/>
        <v>0</v>
      </c>
      <c r="I94" s="1">
        <v>241.05600000000001</v>
      </c>
      <c r="J94" s="1"/>
      <c r="K94" s="3"/>
      <c r="L94" s="3"/>
      <c r="M94" s="3"/>
      <c r="N94" s="3"/>
    </row>
    <row r="95" spans="2:14" s="15" customFormat="1" ht="31.5" x14ac:dyDescent="0.25">
      <c r="B95" s="69">
        <v>37</v>
      </c>
      <c r="C95" s="23" t="s">
        <v>103</v>
      </c>
      <c r="D95" s="52" t="s">
        <v>167</v>
      </c>
      <c r="E95" s="52" t="s">
        <v>168</v>
      </c>
      <c r="F95" s="51"/>
      <c r="G95" s="3">
        <f t="shared" si="8"/>
        <v>231818.86717035685</v>
      </c>
      <c r="H95" s="3">
        <f t="shared" si="9"/>
        <v>0</v>
      </c>
      <c r="I95" s="1">
        <v>231818.86717035685</v>
      </c>
      <c r="J95" s="1"/>
      <c r="K95" s="3"/>
      <c r="L95" s="3"/>
      <c r="M95" s="3"/>
      <c r="N95" s="3"/>
    </row>
    <row r="96" spans="2:14" s="15" customFormat="1" x14ac:dyDescent="0.25">
      <c r="B96" s="69">
        <v>38</v>
      </c>
      <c r="C96" s="23" t="s">
        <v>104</v>
      </c>
      <c r="D96" s="10"/>
      <c r="E96" s="10"/>
      <c r="F96" s="51"/>
      <c r="G96" s="3">
        <f t="shared" si="8"/>
        <v>0</v>
      </c>
      <c r="H96" s="3">
        <f t="shared" si="9"/>
        <v>0</v>
      </c>
      <c r="I96" s="1"/>
      <c r="J96" s="1"/>
      <c r="K96" s="3"/>
      <c r="L96" s="3"/>
      <c r="M96" s="3"/>
      <c r="N96" s="3"/>
    </row>
    <row r="97" spans="2:14" s="15" customFormat="1" x14ac:dyDescent="0.25">
      <c r="B97" s="69">
        <v>39</v>
      </c>
      <c r="C97" s="23" t="s">
        <v>105</v>
      </c>
      <c r="D97" s="10"/>
      <c r="E97" s="10"/>
      <c r="F97" s="51"/>
      <c r="G97" s="3">
        <f t="shared" si="8"/>
        <v>0</v>
      </c>
      <c r="H97" s="3">
        <f t="shared" si="9"/>
        <v>0</v>
      </c>
      <c r="I97" s="1"/>
      <c r="J97" s="1"/>
      <c r="K97" s="3"/>
      <c r="L97" s="3"/>
      <c r="M97" s="3"/>
      <c r="N97" s="3"/>
    </row>
    <row r="98" spans="2:14" s="15" customFormat="1" ht="38.25" customHeight="1" x14ac:dyDescent="0.25">
      <c r="B98" s="72">
        <v>40</v>
      </c>
      <c r="C98" s="23" t="s">
        <v>43</v>
      </c>
      <c r="D98" s="68" t="s">
        <v>9</v>
      </c>
      <c r="E98" s="68">
        <v>1</v>
      </c>
      <c r="F98" s="53">
        <v>1</v>
      </c>
      <c r="G98" s="3">
        <f t="shared" si="8"/>
        <v>9800</v>
      </c>
      <c r="H98" s="3">
        <f t="shared" si="9"/>
        <v>6507.8069800000003</v>
      </c>
      <c r="I98" s="1">
        <v>9800</v>
      </c>
      <c r="J98" s="1">
        <f>6507806.98/1000</f>
        <v>6507.8069800000003</v>
      </c>
      <c r="K98" s="3"/>
      <c r="L98" s="3"/>
      <c r="M98" s="3"/>
      <c r="N98" s="3"/>
    </row>
    <row r="99" spans="2:14" s="15" customFormat="1" ht="47.25" x14ac:dyDescent="0.25">
      <c r="B99" s="72"/>
      <c r="C99" s="23" t="s">
        <v>106</v>
      </c>
      <c r="D99" s="68" t="s">
        <v>132</v>
      </c>
      <c r="E99" s="68">
        <v>1</v>
      </c>
      <c r="F99" s="51"/>
      <c r="G99" s="3">
        <f t="shared" si="8"/>
        <v>1159.68</v>
      </c>
      <c r="H99" s="3">
        <f t="shared" si="9"/>
        <v>0</v>
      </c>
      <c r="I99" s="1">
        <v>1159.68</v>
      </c>
      <c r="J99" s="1"/>
      <c r="K99" s="3"/>
      <c r="L99" s="3"/>
      <c r="M99" s="3"/>
      <c r="N99" s="3"/>
    </row>
    <row r="100" spans="2:14" s="15" customFormat="1" ht="31.5" x14ac:dyDescent="0.25">
      <c r="B100" s="69">
        <v>41</v>
      </c>
      <c r="C100" s="23" t="s">
        <v>107</v>
      </c>
      <c r="D100" s="68" t="s">
        <v>35</v>
      </c>
      <c r="E100" s="68">
        <v>11</v>
      </c>
      <c r="F100" s="51"/>
      <c r="G100" s="3">
        <f t="shared" si="8"/>
        <v>108671.80209</v>
      </c>
      <c r="H100" s="3">
        <f t="shared" si="9"/>
        <v>0</v>
      </c>
      <c r="I100" s="1">
        <v>108671.80209</v>
      </c>
      <c r="J100" s="1"/>
      <c r="K100" s="3"/>
      <c r="L100" s="3"/>
      <c r="M100" s="3"/>
      <c r="N100" s="3"/>
    </row>
    <row r="101" spans="2:14" s="15" customFormat="1" ht="42" customHeight="1" x14ac:dyDescent="0.25">
      <c r="B101" s="69">
        <v>42</v>
      </c>
      <c r="C101" s="23" t="s">
        <v>108</v>
      </c>
      <c r="D101" s="68" t="s">
        <v>169</v>
      </c>
      <c r="E101" s="68">
        <v>1</v>
      </c>
      <c r="F101" s="53">
        <v>1</v>
      </c>
      <c r="G101" s="3">
        <f t="shared" si="8"/>
        <v>4144.75875</v>
      </c>
      <c r="H101" s="3">
        <f t="shared" si="9"/>
        <v>4144.75875</v>
      </c>
      <c r="I101" s="1">
        <v>4144.75875</v>
      </c>
      <c r="J101" s="1">
        <f>4144758.75/1000</f>
        <v>4144.75875</v>
      </c>
      <c r="K101" s="3"/>
      <c r="L101" s="3"/>
      <c r="M101" s="3"/>
      <c r="N101" s="3"/>
    </row>
    <row r="102" spans="2:14" s="15" customFormat="1" ht="31.5" x14ac:dyDescent="0.25">
      <c r="B102" s="69">
        <v>43</v>
      </c>
      <c r="C102" s="23" t="s">
        <v>109</v>
      </c>
      <c r="D102" s="52"/>
      <c r="E102" s="52"/>
      <c r="F102" s="23"/>
      <c r="G102" s="3">
        <f t="shared" si="8"/>
        <v>0</v>
      </c>
      <c r="H102" s="3">
        <f t="shared" si="9"/>
        <v>0</v>
      </c>
      <c r="I102" s="1"/>
      <c r="J102" s="1"/>
      <c r="K102" s="3"/>
      <c r="L102" s="3"/>
      <c r="M102" s="3"/>
      <c r="N102" s="3"/>
    </row>
    <row r="103" spans="2:14" s="15" customFormat="1" ht="59.25" customHeight="1" x14ac:dyDescent="0.25">
      <c r="B103" s="69">
        <v>44</v>
      </c>
      <c r="C103" s="23" t="s">
        <v>110</v>
      </c>
      <c r="D103" s="52" t="s">
        <v>170</v>
      </c>
      <c r="E103" s="52">
        <v>1</v>
      </c>
      <c r="F103" s="52">
        <v>1</v>
      </c>
      <c r="G103" s="3">
        <f t="shared" si="8"/>
        <v>3200</v>
      </c>
      <c r="H103" s="3">
        <f t="shared" si="9"/>
        <v>3200</v>
      </c>
      <c r="I103" s="1">
        <v>3200</v>
      </c>
      <c r="J103" s="1">
        <f>3200000/1000</f>
        <v>3200</v>
      </c>
      <c r="K103" s="3"/>
      <c r="L103" s="3"/>
      <c r="M103" s="3"/>
      <c r="N103" s="3"/>
    </row>
    <row r="104" spans="2:14" s="15" customFormat="1" ht="31.5" x14ac:dyDescent="0.25">
      <c r="B104" s="69">
        <v>45</v>
      </c>
      <c r="C104" s="23" t="s">
        <v>27</v>
      </c>
      <c r="D104" s="52" t="s">
        <v>167</v>
      </c>
      <c r="E104" s="52" t="s">
        <v>171</v>
      </c>
      <c r="F104" s="23" t="s">
        <v>145</v>
      </c>
      <c r="G104" s="3">
        <f t="shared" si="8"/>
        <v>893015.72449000005</v>
      </c>
      <c r="H104" s="3">
        <f>J104+L104+N104</f>
        <v>630242.03388999996</v>
      </c>
      <c r="I104" s="1">
        <v>893015.72449000005</v>
      </c>
      <c r="J104" s="1">
        <f>170538783.05/1000+34575182.84/1000+104758568/1000+320369500/1000</f>
        <v>630242.03388999996</v>
      </c>
      <c r="K104" s="3"/>
      <c r="L104" s="3"/>
      <c r="M104" s="3"/>
      <c r="N104" s="3"/>
    </row>
    <row r="105" spans="2:14" s="15" customFormat="1" x14ac:dyDescent="0.25">
      <c r="B105" s="69">
        <v>46</v>
      </c>
      <c r="C105" s="23" t="s">
        <v>6</v>
      </c>
      <c r="D105" s="52" t="s">
        <v>172</v>
      </c>
      <c r="E105" s="52">
        <v>1549</v>
      </c>
      <c r="F105" s="23" t="s">
        <v>144</v>
      </c>
      <c r="G105" s="3">
        <f t="shared" si="8"/>
        <v>434845</v>
      </c>
      <c r="H105" s="3">
        <f t="shared" ref="H105:H106" si="10">J105+L105+N105</f>
        <v>37857.154319999958</v>
      </c>
      <c r="I105" s="1">
        <v>434845</v>
      </c>
      <c r="J105" s="1">
        <f>17524668/1000+9816914.49999996/1000+10515571.82/1000</f>
        <v>37857.154319999958</v>
      </c>
      <c r="K105" s="3"/>
      <c r="L105" s="3"/>
      <c r="M105" s="3"/>
      <c r="N105" s="3"/>
    </row>
    <row r="106" spans="2:14" s="15" customFormat="1" x14ac:dyDescent="0.25">
      <c r="B106" s="69">
        <v>47</v>
      </c>
      <c r="C106" s="23" t="s">
        <v>26</v>
      </c>
      <c r="D106" s="10"/>
      <c r="E106" s="10"/>
      <c r="F106" s="51"/>
      <c r="G106" s="3">
        <f t="shared" si="8"/>
        <v>562178.58837038896</v>
      </c>
      <c r="H106" s="3">
        <f t="shared" si="10"/>
        <v>419315.79852999997</v>
      </c>
      <c r="I106" s="1">
        <v>562178.58837038896</v>
      </c>
      <c r="J106" s="1">
        <f>419315798.53/1000</f>
        <v>419315.79852999997</v>
      </c>
      <c r="K106" s="3"/>
      <c r="L106" s="3"/>
      <c r="M106" s="3"/>
      <c r="N106" s="3"/>
    </row>
    <row r="107" spans="2:14" s="54" customFormat="1" ht="20.25" x14ac:dyDescent="0.3">
      <c r="C107" s="55"/>
      <c r="D107" s="56"/>
      <c r="E107" s="56"/>
      <c r="F107" s="56"/>
      <c r="G107" s="55"/>
      <c r="H107" s="57"/>
      <c r="I107" s="55"/>
    </row>
    <row r="108" spans="2:14" s="54" customFormat="1" ht="20.25" x14ac:dyDescent="0.3">
      <c r="C108" s="55"/>
      <c r="D108" s="56"/>
      <c r="E108" s="56"/>
      <c r="F108" s="56"/>
      <c r="G108" s="55"/>
      <c r="H108" s="57"/>
      <c r="I108" s="55"/>
    </row>
    <row r="109" spans="2:14" s="54" customFormat="1" ht="20.25" x14ac:dyDescent="0.3">
      <c r="C109" s="55"/>
      <c r="D109" s="56"/>
      <c r="E109" s="56"/>
      <c r="F109" s="56"/>
      <c r="G109" s="55"/>
      <c r="H109" s="57"/>
      <c r="I109" s="55"/>
    </row>
    <row r="110" spans="2:14" s="54" customFormat="1" ht="20.25" x14ac:dyDescent="0.3">
      <c r="C110" s="55" t="s">
        <v>177</v>
      </c>
      <c r="D110" s="56"/>
      <c r="E110" s="56"/>
      <c r="F110" s="56"/>
      <c r="G110" s="55"/>
      <c r="H110" s="57"/>
      <c r="I110" s="55" t="s">
        <v>178</v>
      </c>
    </row>
    <row r="111" spans="2:14" s="54" customFormat="1" ht="20.25" x14ac:dyDescent="0.3">
      <c r="C111" s="55"/>
      <c r="D111" s="56"/>
      <c r="E111" s="56"/>
      <c r="F111" s="56"/>
      <c r="G111" s="55"/>
      <c r="H111" s="57"/>
      <c r="I111" s="55"/>
    </row>
    <row r="112" spans="2:14" s="54" customFormat="1" ht="20.25" x14ac:dyDescent="0.3">
      <c r="C112" s="55"/>
      <c r="D112" s="56"/>
      <c r="E112" s="56"/>
      <c r="F112" s="56"/>
      <c r="G112" s="55"/>
      <c r="H112" s="57"/>
      <c r="I112" s="55"/>
    </row>
    <row r="113" spans="3:9" s="54" customFormat="1" ht="20.25" x14ac:dyDescent="0.3">
      <c r="C113" s="55"/>
      <c r="D113" s="56"/>
      <c r="E113" s="56"/>
      <c r="F113" s="56"/>
      <c r="G113" s="55"/>
      <c r="H113" s="57"/>
      <c r="I113" s="55"/>
    </row>
    <row r="114" spans="3:9" s="54" customFormat="1" ht="20.25" x14ac:dyDescent="0.3">
      <c r="C114" s="55" t="s">
        <v>179</v>
      </c>
      <c r="D114" s="56"/>
      <c r="E114" s="56"/>
      <c r="F114" s="56"/>
      <c r="H114" s="57"/>
      <c r="I114" s="54" t="s">
        <v>180</v>
      </c>
    </row>
    <row r="115" spans="3:9" s="54" customFormat="1" ht="20.25" x14ac:dyDescent="0.3">
      <c r="C115" s="55"/>
      <c r="D115" s="56"/>
      <c r="E115" s="56"/>
      <c r="F115" s="56"/>
      <c r="G115" s="55"/>
      <c r="H115" s="57"/>
      <c r="I115" s="55"/>
    </row>
    <row r="116" spans="3:9" s="54" customFormat="1" ht="20.25" x14ac:dyDescent="0.3">
      <c r="C116" s="55"/>
      <c r="D116" s="56"/>
      <c r="E116" s="56"/>
      <c r="F116" s="56"/>
      <c r="G116" s="55"/>
      <c r="H116" s="57"/>
      <c r="I116" s="55"/>
    </row>
    <row r="117" spans="3:9" s="54" customFormat="1" ht="20.25" x14ac:dyDescent="0.3">
      <c r="C117" s="55"/>
      <c r="D117" s="56"/>
      <c r="E117" s="56"/>
      <c r="F117" s="56"/>
      <c r="G117" s="55"/>
      <c r="H117" s="57"/>
      <c r="I117" s="55"/>
    </row>
    <row r="118" spans="3:9" s="54" customFormat="1" ht="20.25" x14ac:dyDescent="0.3">
      <c r="C118" s="55" t="s">
        <v>181</v>
      </c>
      <c r="D118" s="56"/>
      <c r="E118" s="56"/>
      <c r="F118" s="56"/>
      <c r="H118" s="57"/>
      <c r="I118" s="54" t="s">
        <v>182</v>
      </c>
    </row>
    <row r="119" spans="3:9" s="54" customFormat="1" ht="20.25" x14ac:dyDescent="0.3">
      <c r="C119" s="55"/>
      <c r="D119" s="56"/>
      <c r="E119" s="56"/>
      <c r="F119" s="56"/>
      <c r="H119" s="57"/>
    </row>
    <row r="120" spans="3:9" s="54" customFormat="1" ht="20.25" x14ac:dyDescent="0.3">
      <c r="C120" s="55"/>
      <c r="D120" s="56"/>
      <c r="E120" s="56"/>
      <c r="F120" s="56"/>
      <c r="G120" s="55"/>
      <c r="H120" s="57"/>
      <c r="I120" s="55"/>
    </row>
    <row r="121" spans="3:9" s="54" customFormat="1" ht="20.25" x14ac:dyDescent="0.3">
      <c r="C121" s="55"/>
      <c r="D121" s="56"/>
      <c r="E121" s="56"/>
      <c r="F121" s="56"/>
      <c r="G121" s="55"/>
      <c r="H121" s="57"/>
      <c r="I121" s="55"/>
    </row>
    <row r="122" spans="3:9" s="54" customFormat="1" ht="20.25" x14ac:dyDescent="0.3">
      <c r="C122" s="55" t="s">
        <v>183</v>
      </c>
      <c r="D122" s="56"/>
      <c r="E122" s="56"/>
      <c r="F122" s="56"/>
      <c r="H122" s="57"/>
      <c r="I122" s="54" t="s">
        <v>184</v>
      </c>
    </row>
    <row r="123" spans="3:9" s="54" customFormat="1" ht="20.25" x14ac:dyDescent="0.3">
      <c r="C123" s="55"/>
      <c r="D123" s="56"/>
      <c r="E123" s="56"/>
      <c r="F123" s="56"/>
      <c r="H123" s="57"/>
    </row>
    <row r="124" spans="3:9" s="54" customFormat="1" ht="20.25" x14ac:dyDescent="0.3">
      <c r="C124" s="55"/>
      <c r="D124" s="56"/>
      <c r="E124" s="56"/>
      <c r="F124" s="56"/>
      <c r="H124" s="57"/>
    </row>
    <row r="125" spans="3:9" s="54" customFormat="1" ht="20.25" x14ac:dyDescent="0.3">
      <c r="C125" s="55"/>
      <c r="D125" s="56"/>
      <c r="E125" s="56"/>
      <c r="F125" s="56"/>
      <c r="H125" s="57"/>
    </row>
    <row r="126" spans="3:9" s="54" customFormat="1" ht="20.25" x14ac:dyDescent="0.3">
      <c r="C126" s="55"/>
      <c r="D126" s="56"/>
      <c r="E126" s="56"/>
      <c r="F126" s="56"/>
      <c r="H126" s="57"/>
    </row>
    <row r="128" spans="3:9" x14ac:dyDescent="0.25">
      <c r="C128" s="26"/>
    </row>
    <row r="131" spans="3:3" x14ac:dyDescent="0.25">
      <c r="C131" s="26"/>
    </row>
    <row r="1048460" spans="3:6" x14ac:dyDescent="0.25">
      <c r="C1048460" s="4"/>
      <c r="D1048460" s="65"/>
      <c r="F1048460" s="4"/>
    </row>
  </sheetData>
  <mergeCells count="43">
    <mergeCell ref="B20:B21"/>
    <mergeCell ref="B8:N8"/>
    <mergeCell ref="K1:N1"/>
    <mergeCell ref="M9:N9"/>
    <mergeCell ref="I10:I11"/>
    <mergeCell ref="J10:J11"/>
    <mergeCell ref="K10:K11"/>
    <mergeCell ref="B9:B11"/>
    <mergeCell ref="D9:D11"/>
    <mergeCell ref="E9:F9"/>
    <mergeCell ref="G9:H9"/>
    <mergeCell ref="F10:F11"/>
    <mergeCell ref="H10:H11"/>
    <mergeCell ref="E10:E11"/>
    <mergeCell ref="G10:G11"/>
    <mergeCell ref="C9:C11"/>
    <mergeCell ref="L10:L11"/>
    <mergeCell ref="M10:M11"/>
    <mergeCell ref="N10:N11"/>
    <mergeCell ref="I9:J9"/>
    <mergeCell ref="K9:L9"/>
    <mergeCell ref="B22:B23"/>
    <mergeCell ref="B24:B25"/>
    <mergeCell ref="B26:B27"/>
    <mergeCell ref="B28:B29"/>
    <mergeCell ref="B30:B31"/>
    <mergeCell ref="B43:B44"/>
    <mergeCell ref="B45:B46"/>
    <mergeCell ref="B67:B68"/>
    <mergeCell ref="B69:B70"/>
    <mergeCell ref="B32:B33"/>
    <mergeCell ref="B34:B35"/>
    <mergeCell ref="B36:B37"/>
    <mergeCell ref="B41:B42"/>
    <mergeCell ref="B91:B92"/>
    <mergeCell ref="B93:B94"/>
    <mergeCell ref="B98:B99"/>
    <mergeCell ref="B71:B72"/>
    <mergeCell ref="B73:B74"/>
    <mergeCell ref="B75:B76"/>
    <mergeCell ref="B87:B88"/>
    <mergeCell ref="B89:B90"/>
    <mergeCell ref="B83:B84"/>
  </mergeCells>
  <printOptions horizontalCentered="1"/>
  <pageMargins left="0.39370078740157483" right="0.35433070866141736" top="0.39370078740157483" bottom="0.39370078740157483" header="0.23622047244094491" footer="0.23622047244094491"/>
  <pageSetup paperSize="8" scale="46" fitToHeight="3" orientation="landscape" verticalDpi="1200" r:id="rId1"/>
  <headerFooter>
    <oddFooter>&amp;C&amp;P</oddFooter>
  </headerFooter>
  <rowBreaks count="1" manualBreakCount="1">
    <brk id="80" min="1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8"/>
  <sheetViews>
    <sheetView view="pageBreakPreview" zoomScale="80" zoomScaleNormal="80" zoomScaleSheetLayoutView="80" workbookViewId="0">
      <selection activeCell="J13" sqref="J13"/>
    </sheetView>
  </sheetViews>
  <sheetFormatPr defaultRowHeight="15" outlineLevelRow="1" x14ac:dyDescent="0.25"/>
  <cols>
    <col min="1" max="1" width="9.140625" style="27"/>
    <col min="2" max="2" width="38.85546875" style="27" customWidth="1"/>
    <col min="3" max="3" width="24" style="27" customWidth="1"/>
    <col min="4" max="4" width="25.42578125" style="27" customWidth="1"/>
    <col min="5" max="5" width="24.42578125" style="27" customWidth="1"/>
    <col min="6" max="6" width="9.140625" style="27"/>
    <col min="7" max="7" width="22.5703125" style="38" customWidth="1"/>
    <col min="8" max="8" width="22.85546875" style="38" customWidth="1"/>
    <col min="9" max="9" width="25.42578125" style="38" customWidth="1"/>
    <col min="10" max="10" width="24.140625" style="38" customWidth="1"/>
    <col min="11" max="255" width="9.140625" style="27"/>
    <col min="256" max="261" width="28" style="27" customWidth="1"/>
    <col min="262" max="511" width="9.140625" style="27"/>
    <col min="512" max="517" width="28" style="27" customWidth="1"/>
    <col min="518" max="767" width="9.140625" style="27"/>
    <col min="768" max="773" width="28" style="27" customWidth="1"/>
    <col min="774" max="1023" width="9.140625" style="27"/>
    <col min="1024" max="1029" width="28" style="27" customWidth="1"/>
    <col min="1030" max="1279" width="9.140625" style="27"/>
    <col min="1280" max="1285" width="28" style="27" customWidth="1"/>
    <col min="1286" max="1535" width="9.140625" style="27"/>
    <col min="1536" max="1541" width="28" style="27" customWidth="1"/>
    <col min="1542" max="1791" width="9.140625" style="27"/>
    <col min="1792" max="1797" width="28" style="27" customWidth="1"/>
    <col min="1798" max="2047" width="9.140625" style="27"/>
    <col min="2048" max="2053" width="28" style="27" customWidth="1"/>
    <col min="2054" max="2303" width="9.140625" style="27"/>
    <col min="2304" max="2309" width="28" style="27" customWidth="1"/>
    <col min="2310" max="2559" width="9.140625" style="27"/>
    <col min="2560" max="2565" width="28" style="27" customWidth="1"/>
    <col min="2566" max="2815" width="9.140625" style="27"/>
    <col min="2816" max="2821" width="28" style="27" customWidth="1"/>
    <col min="2822" max="3071" width="9.140625" style="27"/>
    <col min="3072" max="3077" width="28" style="27" customWidth="1"/>
    <col min="3078" max="3327" width="9.140625" style="27"/>
    <col min="3328" max="3333" width="28" style="27" customWidth="1"/>
    <col min="3334" max="3583" width="9.140625" style="27"/>
    <col min="3584" max="3589" width="28" style="27" customWidth="1"/>
    <col min="3590" max="3839" width="9.140625" style="27"/>
    <col min="3840" max="3845" width="28" style="27" customWidth="1"/>
    <col min="3846" max="4095" width="9.140625" style="27"/>
    <col min="4096" max="4101" width="28" style="27" customWidth="1"/>
    <col min="4102" max="4351" width="9.140625" style="27"/>
    <col min="4352" max="4357" width="28" style="27" customWidth="1"/>
    <col min="4358" max="4607" width="9.140625" style="27"/>
    <col min="4608" max="4613" width="28" style="27" customWidth="1"/>
    <col min="4614" max="4863" width="9.140625" style="27"/>
    <col min="4864" max="4869" width="28" style="27" customWidth="1"/>
    <col min="4870" max="5119" width="9.140625" style="27"/>
    <col min="5120" max="5125" width="28" style="27" customWidth="1"/>
    <col min="5126" max="5375" width="9.140625" style="27"/>
    <col min="5376" max="5381" width="28" style="27" customWidth="1"/>
    <col min="5382" max="5631" width="9.140625" style="27"/>
    <col min="5632" max="5637" width="28" style="27" customWidth="1"/>
    <col min="5638" max="5887" width="9.140625" style="27"/>
    <col min="5888" max="5893" width="28" style="27" customWidth="1"/>
    <col min="5894" max="6143" width="9.140625" style="27"/>
    <col min="6144" max="6149" width="28" style="27" customWidth="1"/>
    <col min="6150" max="6399" width="9.140625" style="27"/>
    <col min="6400" max="6405" width="28" style="27" customWidth="1"/>
    <col min="6406" max="6655" width="9.140625" style="27"/>
    <col min="6656" max="6661" width="28" style="27" customWidth="1"/>
    <col min="6662" max="6911" width="9.140625" style="27"/>
    <col min="6912" max="6917" width="28" style="27" customWidth="1"/>
    <col min="6918" max="7167" width="9.140625" style="27"/>
    <col min="7168" max="7173" width="28" style="27" customWidth="1"/>
    <col min="7174" max="7423" width="9.140625" style="27"/>
    <col min="7424" max="7429" width="28" style="27" customWidth="1"/>
    <col min="7430" max="7679" width="9.140625" style="27"/>
    <col min="7680" max="7685" width="28" style="27" customWidth="1"/>
    <col min="7686" max="7935" width="9.140625" style="27"/>
    <col min="7936" max="7941" width="28" style="27" customWidth="1"/>
    <col min="7942" max="8191" width="9.140625" style="27"/>
    <col min="8192" max="8197" width="28" style="27" customWidth="1"/>
    <col min="8198" max="8447" width="9.140625" style="27"/>
    <col min="8448" max="8453" width="28" style="27" customWidth="1"/>
    <col min="8454" max="8703" width="9.140625" style="27"/>
    <col min="8704" max="8709" width="28" style="27" customWidth="1"/>
    <col min="8710" max="8959" width="9.140625" style="27"/>
    <col min="8960" max="8965" width="28" style="27" customWidth="1"/>
    <col min="8966" max="9215" width="9.140625" style="27"/>
    <col min="9216" max="9221" width="28" style="27" customWidth="1"/>
    <col min="9222" max="9471" width="9.140625" style="27"/>
    <col min="9472" max="9477" width="28" style="27" customWidth="1"/>
    <col min="9478" max="9727" width="9.140625" style="27"/>
    <col min="9728" max="9733" width="28" style="27" customWidth="1"/>
    <col min="9734" max="9983" width="9.140625" style="27"/>
    <col min="9984" max="9989" width="28" style="27" customWidth="1"/>
    <col min="9990" max="10239" width="9.140625" style="27"/>
    <col min="10240" max="10245" width="28" style="27" customWidth="1"/>
    <col min="10246" max="10495" width="9.140625" style="27"/>
    <col min="10496" max="10501" width="28" style="27" customWidth="1"/>
    <col min="10502" max="10751" width="9.140625" style="27"/>
    <col min="10752" max="10757" width="28" style="27" customWidth="1"/>
    <col min="10758" max="11007" width="9.140625" style="27"/>
    <col min="11008" max="11013" width="28" style="27" customWidth="1"/>
    <col min="11014" max="11263" width="9.140625" style="27"/>
    <col min="11264" max="11269" width="28" style="27" customWidth="1"/>
    <col min="11270" max="11519" width="9.140625" style="27"/>
    <col min="11520" max="11525" width="28" style="27" customWidth="1"/>
    <col min="11526" max="11775" width="9.140625" style="27"/>
    <col min="11776" max="11781" width="28" style="27" customWidth="1"/>
    <col min="11782" max="12031" width="9.140625" style="27"/>
    <col min="12032" max="12037" width="28" style="27" customWidth="1"/>
    <col min="12038" max="12287" width="9.140625" style="27"/>
    <col min="12288" max="12293" width="28" style="27" customWidth="1"/>
    <col min="12294" max="12543" width="9.140625" style="27"/>
    <col min="12544" max="12549" width="28" style="27" customWidth="1"/>
    <col min="12550" max="12799" width="9.140625" style="27"/>
    <col min="12800" max="12805" width="28" style="27" customWidth="1"/>
    <col min="12806" max="13055" width="9.140625" style="27"/>
    <col min="13056" max="13061" width="28" style="27" customWidth="1"/>
    <col min="13062" max="13311" width="9.140625" style="27"/>
    <col min="13312" max="13317" width="28" style="27" customWidth="1"/>
    <col min="13318" max="13567" width="9.140625" style="27"/>
    <col min="13568" max="13573" width="28" style="27" customWidth="1"/>
    <col min="13574" max="13823" width="9.140625" style="27"/>
    <col min="13824" max="13829" width="28" style="27" customWidth="1"/>
    <col min="13830" max="14079" width="9.140625" style="27"/>
    <col min="14080" max="14085" width="28" style="27" customWidth="1"/>
    <col min="14086" max="14335" width="9.140625" style="27"/>
    <col min="14336" max="14341" width="28" style="27" customWidth="1"/>
    <col min="14342" max="14591" width="9.140625" style="27"/>
    <col min="14592" max="14597" width="28" style="27" customWidth="1"/>
    <col min="14598" max="14847" width="9.140625" style="27"/>
    <col min="14848" max="14853" width="28" style="27" customWidth="1"/>
    <col min="14854" max="15103" width="9.140625" style="27"/>
    <col min="15104" max="15109" width="28" style="27" customWidth="1"/>
    <col min="15110" max="15359" width="9.140625" style="27"/>
    <col min="15360" max="15365" width="28" style="27" customWidth="1"/>
    <col min="15366" max="15615" width="9.140625" style="27"/>
    <col min="15616" max="15621" width="28" style="27" customWidth="1"/>
    <col min="15622" max="15871" width="9.140625" style="27"/>
    <col min="15872" max="15877" width="28" style="27" customWidth="1"/>
    <col min="15878" max="16127" width="9.140625" style="27"/>
    <col min="16128" max="16133" width="28" style="27" customWidth="1"/>
    <col min="16134" max="16384" width="9.140625" style="27"/>
  </cols>
  <sheetData>
    <row r="1" spans="2:12" s="4" customFormat="1" ht="15.75" outlineLevel="1" x14ac:dyDescent="0.25">
      <c r="C1" s="24"/>
      <c r="D1" s="8"/>
      <c r="E1" s="8"/>
      <c r="F1" s="80"/>
      <c r="G1" s="81"/>
      <c r="H1" s="81"/>
      <c r="I1" s="76"/>
      <c r="J1" s="76"/>
      <c r="K1" s="77"/>
      <c r="L1" s="77"/>
    </row>
    <row r="2" spans="2:12" ht="15.75" x14ac:dyDescent="0.25">
      <c r="E2" s="28"/>
      <c r="F2" s="80"/>
      <c r="G2" s="81"/>
      <c r="H2" s="81"/>
      <c r="J2" s="39"/>
    </row>
    <row r="4" spans="2:12" ht="84.75" customHeight="1" x14ac:dyDescent="0.25">
      <c r="B4" s="29" t="s">
        <v>23</v>
      </c>
      <c r="C4" s="29" t="s">
        <v>136</v>
      </c>
      <c r="D4" s="29" t="s">
        <v>40</v>
      </c>
      <c r="E4" s="29" t="s">
        <v>137</v>
      </c>
      <c r="G4" s="40"/>
      <c r="H4" s="40"/>
      <c r="I4" s="40"/>
      <c r="J4" s="40"/>
    </row>
    <row r="5" spans="2:12" ht="78.75" x14ac:dyDescent="0.25">
      <c r="B5" s="30" t="s">
        <v>21</v>
      </c>
      <c r="C5" s="58" t="s">
        <v>138</v>
      </c>
      <c r="D5" s="58" t="s">
        <v>138</v>
      </c>
      <c r="E5" s="58" t="s">
        <v>138</v>
      </c>
      <c r="G5" s="41"/>
      <c r="H5" s="42"/>
      <c r="I5" s="42"/>
      <c r="J5" s="19"/>
    </row>
    <row r="6" spans="2:12" ht="69.75" customHeight="1" x14ac:dyDescent="0.25">
      <c r="B6" s="30" t="s">
        <v>15</v>
      </c>
      <c r="C6" s="59">
        <v>0.108</v>
      </c>
      <c r="D6" s="33">
        <v>0.14449999999999999</v>
      </c>
      <c r="E6" s="33">
        <v>0.1123</v>
      </c>
      <c r="G6" s="41"/>
      <c r="H6" s="43"/>
      <c r="I6" s="43"/>
      <c r="J6" s="43"/>
    </row>
    <row r="7" spans="2:12" ht="110.25" hidden="1" x14ac:dyDescent="0.25">
      <c r="B7" s="30" t="s">
        <v>16</v>
      </c>
      <c r="C7" s="33"/>
      <c r="D7" s="23"/>
      <c r="E7" s="34"/>
      <c r="G7" s="41" t="s">
        <v>16</v>
      </c>
      <c r="H7" s="43"/>
      <c r="I7" s="37"/>
      <c r="J7" s="44"/>
    </row>
    <row r="8" spans="2:12" ht="15.75" hidden="1" x14ac:dyDescent="0.25">
      <c r="B8" s="23" t="s">
        <v>17</v>
      </c>
      <c r="C8" s="33"/>
      <c r="D8" s="23"/>
      <c r="E8" s="34"/>
      <c r="G8" s="37" t="s">
        <v>17</v>
      </c>
      <c r="H8" s="43"/>
      <c r="I8" s="37"/>
      <c r="J8" s="44"/>
    </row>
    <row r="9" spans="2:12" ht="15.75" hidden="1" x14ac:dyDescent="0.25">
      <c r="B9" s="23" t="s">
        <v>17</v>
      </c>
      <c r="C9" s="33"/>
      <c r="D9" s="23"/>
      <c r="E9" s="34"/>
      <c r="G9" s="37" t="s">
        <v>17</v>
      </c>
      <c r="H9" s="43"/>
      <c r="I9" s="37"/>
      <c r="J9" s="44"/>
    </row>
    <row r="10" spans="2:12" ht="77.25" customHeight="1" x14ac:dyDescent="0.25">
      <c r="B10" s="30" t="s">
        <v>16</v>
      </c>
      <c r="C10" s="52">
        <v>344</v>
      </c>
      <c r="D10" s="52" t="s">
        <v>42</v>
      </c>
      <c r="E10" s="52">
        <v>368</v>
      </c>
      <c r="G10" s="41"/>
      <c r="H10" s="45"/>
      <c r="I10" s="45"/>
      <c r="J10" s="45"/>
    </row>
    <row r="11" spans="2:12" ht="15.75" x14ac:dyDescent="0.25">
      <c r="B11" s="31"/>
      <c r="C11" s="31"/>
      <c r="D11" s="31"/>
      <c r="E11" s="31"/>
      <c r="G11" s="46"/>
      <c r="H11" s="46"/>
      <c r="I11" s="46"/>
      <c r="J11" s="46"/>
    </row>
    <row r="13" spans="2:12" s="11" customFormat="1" ht="18.75" x14ac:dyDescent="0.3">
      <c r="B13" s="79" t="s">
        <v>185</v>
      </c>
      <c r="C13" s="79"/>
      <c r="D13" s="12"/>
      <c r="E13" s="25"/>
      <c r="F13" s="25"/>
      <c r="G13" s="20"/>
      <c r="H13" s="25"/>
    </row>
    <row r="14" spans="2:12" ht="18.75" x14ac:dyDescent="0.25">
      <c r="B14" s="79" t="s">
        <v>186</v>
      </c>
      <c r="C14" s="79"/>
      <c r="E14" s="25" t="s">
        <v>178</v>
      </c>
    </row>
    <row r="15" spans="2:12" s="11" customFormat="1" ht="18.75" x14ac:dyDescent="0.3">
      <c r="C15" s="25"/>
      <c r="D15" s="12"/>
      <c r="E15" s="12"/>
      <c r="G15" s="47"/>
      <c r="H15" s="48"/>
      <c r="I15" s="49"/>
      <c r="J15" s="49"/>
    </row>
    <row r="16" spans="2:12" ht="18.75" x14ac:dyDescent="0.3">
      <c r="B16" s="11"/>
      <c r="E16" s="11"/>
      <c r="G16" s="47"/>
      <c r="J16" s="47"/>
    </row>
    <row r="17" spans="2:7" ht="18.75" x14ac:dyDescent="0.3">
      <c r="B17" s="11"/>
      <c r="G17" s="47"/>
    </row>
    <row r="18" spans="2:7" x14ac:dyDescent="0.25">
      <c r="B18" s="26"/>
      <c r="G18" s="50"/>
    </row>
  </sheetData>
  <mergeCells count="3">
    <mergeCell ref="I1:L1"/>
    <mergeCell ref="B13:C13"/>
    <mergeCell ref="B14:C14"/>
  </mergeCells>
  <pageMargins left="0.55118110236220474" right="0.39370078740157483" top="0.31496062992125984" bottom="0.74803149606299213" header="0.31496062992125984" footer="0.31496062992125984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Приложение 1</vt:lpstr>
      <vt:lpstr>Лист1</vt:lpstr>
      <vt:lpstr>'Приложение 1'!Заголовки_для_печати</vt:lpstr>
      <vt:lpstr>Лист1!Область_печати</vt:lpstr>
      <vt:lpstr>'Приложение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nkozlova</dc:creator>
  <cp:lastModifiedBy>Темиржанова Эльмира</cp:lastModifiedBy>
  <cp:lastPrinted>2020-10-23T03:55:47Z</cp:lastPrinted>
  <dcterms:created xsi:type="dcterms:W3CDTF">2015-05-28T08:54:31Z</dcterms:created>
  <dcterms:modified xsi:type="dcterms:W3CDTF">2020-10-23T04:04:57Z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